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nance\Bourse\Associations de place\MiddleNext\Arborescence site web\"/>
    </mc:Choice>
  </mc:AlternateContent>
  <bookViews>
    <workbookView xWindow="0" yWindow="0" windowWidth="19200" windowHeight="11595"/>
  </bookViews>
  <sheets>
    <sheet name="BILAN 18-17" sheetId="1" r:id="rId1"/>
    <sheet name="BILAN 16-15" sheetId="5" r:id="rId2"/>
    <sheet name="BILAN 14-13" sheetId="9" r:id="rId3"/>
    <sheet name="BILAN 12-11" sheetId="13" r:id="rId4"/>
    <sheet name="BILAN 10-09" sheetId="16" r:id="rId5"/>
    <sheet name="CPTE RESULTAT 18-17" sheetId="2" r:id="rId6"/>
    <sheet name="CPTE RESULTAT 16-15" sheetId="6" r:id="rId7"/>
    <sheet name="CPTE RESULTAT 14-13" sheetId="10" r:id="rId8"/>
    <sheet name="CPTE RESULTAT 12-11" sheetId="14" r:id="rId9"/>
    <sheet name="CPTE RESULTAT 10-09" sheetId="17" r:id="rId10"/>
    <sheet name="FLUX TRESO 18-17" sheetId="3" r:id="rId11"/>
    <sheet name="FLUX TRESO 16-15" sheetId="7" r:id="rId12"/>
    <sheet name="FLUX TRESO 14-13" sheetId="11" r:id="rId13"/>
    <sheet name="SIG 18-17" sheetId="4" r:id="rId14"/>
    <sheet name="SIG 16-15" sheetId="8" r:id="rId15"/>
    <sheet name="SIG 14-13" sheetId="12" r:id="rId16"/>
    <sheet name="SIG 12-11" sheetId="15" r:id="rId17"/>
    <sheet name="SIG 10-09" sheetId="18" r:id="rId18"/>
  </sheets>
  <externalReferences>
    <externalReference r:id="rId19"/>
    <externalReference r:id="rId20"/>
    <externalReference r:id="rId21"/>
    <externalReference r:id="rId22"/>
  </externalReferences>
  <definedNames>
    <definedName name="AA" localSheetId="12">[4]SIG!#REF!</definedName>
    <definedName name="AA" localSheetId="11">[1]SIG!#REF!</definedName>
    <definedName name="AA" localSheetId="10">[1]SIG!#REF!</definedName>
    <definedName name="AA">'SIG 18-17'!#REF!</definedName>
    <definedName name="aaa">[2]SIG!#REF!</definedName>
    <definedName name="AB">[3]SIG!#REF!</definedName>
    <definedName name="af">[3]SIG!#REF!</definedName>
    <definedName name="fgaz" localSheetId="12">[4]SIG!#REF!</definedName>
    <definedName name="fgaz" localSheetId="11">[1]SIG!#REF!</definedName>
    <definedName name="fgaz" localSheetId="10">[1]SIG!#REF!</definedName>
    <definedName name="fgaz">'SIG 18-17'!#REF!</definedName>
    <definedName name="g">'SIG 18-17'!#REF!</definedName>
    <definedName name="li" localSheetId="12">[4]SIG!#REF!</definedName>
    <definedName name="li" localSheetId="11">[1]SIG!#REF!</definedName>
    <definedName name="li" localSheetId="10">[1]SIG!#REF!</definedName>
    <definedName name="li">'SIG 18-17'!#REF!</definedName>
    <definedName name="Liasse" localSheetId="12">[4]SIG!#REF!</definedName>
    <definedName name="Liasse" localSheetId="11">[1]SIG!#REF!</definedName>
    <definedName name="Liasse" localSheetId="10">[1]SIG!#REF!</definedName>
    <definedName name="Liasse">'SIG 18-17'!#REF!</definedName>
    <definedName name="LL" localSheetId="12">[4]SIG!#REF!</definedName>
    <definedName name="LL" localSheetId="11">[1]SIG!#REF!</definedName>
    <definedName name="LL" localSheetId="10">[1]SIG!#REF!</definedName>
    <definedName name="LL">'SIG 18-17'!#REF!</definedName>
    <definedName name="lla" localSheetId="12">[4]SIG!#REF!</definedName>
    <definedName name="lla" localSheetId="11">[1]SIG!#REF!</definedName>
    <definedName name="lla" localSheetId="10">[1]SIG!#REF!</definedName>
    <definedName name="lla">'SIG 18-17'!#REF!</definedName>
    <definedName name="m" localSheetId="12">[4]SIG!#REF!</definedName>
    <definedName name="m" localSheetId="11">[1]SIG!#REF!</definedName>
    <definedName name="m" localSheetId="10">[1]SIG!#REF!</definedName>
    <definedName name="m">'SIG 18-17'!#REF!</definedName>
    <definedName name="o">IF('SIG 18-17'!#REF!=0,"",IF(('SIG 18-17'!#REF!-'SIG 18-17'!#REF!)/ABS('SIG 18-17'!#REF!)&gt;1,"+ 100%",IF(('SIG 18-17'!#REF!-'SIG 18-17'!#REF!)/ABS('SIG 18-17'!#REF!)&lt;-1,"- 100%",('SIG 18-17'!#REF!-'SIG 18-17'!#REF!)/ABS('SIG 18-17'!#REF!))))</definedName>
    <definedName name="oo">'SIG 18-17'!#REF!</definedName>
    <definedName name="Taux_leasing" localSheetId="12">[4]SIG!#REF!</definedName>
    <definedName name="Taux_leasing" localSheetId="11">[1]SIG!#REF!</definedName>
    <definedName name="Taux_leasing" localSheetId="10">[1]SIG!#REF!</definedName>
    <definedName name="Taux_leasing">'SIG 18-17'!#REF!</definedName>
    <definedName name="u">'SIG 18-17'!#REF!</definedName>
    <definedName name="Variation" localSheetId="12">IF([4]SIG!#REF!=0,"",IF(([4]SIG!#REF!-[4]SIG!#REF!)/ABS([4]SIG!#REF!)&gt;1,"+ 100%",IF(([4]SIG!#REF!-[4]SIG!#REF!)/ABS([4]SIG!#REF!)&lt;-1,"- 100%",([4]SIG!#REF!-[4]SIG!#REF!)/ABS([4]SIG!#REF!))))</definedName>
    <definedName name="Variation" localSheetId="11">IF([1]SIG!#REF!=0,"",IF(([1]SIG!#REF!-[1]SIG!#REF!)/ABS([1]SIG!#REF!)&gt;1,"+ 100%",IF(([1]SIG!#REF!-[1]SIG!#REF!)/ABS([1]SIG!#REF!)&lt;-1,"- 100%",([1]SIG!#REF!-[1]SIG!#REF!)/ABS([1]SIG!#REF!))))</definedName>
    <definedName name="Variation" localSheetId="10">IF([1]SIG!#REF!=0,"",IF(([1]SIG!#REF!-[1]SIG!#REF!)/ABS([1]SIG!#REF!)&gt;1,"+ 100%",IF(([1]SIG!#REF!-[1]SIG!#REF!)/ABS([1]SIG!#REF!)&lt;-1,"- 100%",([1]SIG!#REF!-[1]SIG!#REF!)/ABS([1]SIG!#REF!))))</definedName>
    <definedName name="Variation">IF('SIG 18-17'!#REF!=0,"",IF(('SIG 18-17'!#REF!-'SIG 18-17'!#REF!)/ABS('SIG 18-17'!#REF!)&gt;1,"+ 100%",IF(('SIG 18-17'!#REF!-'SIG 18-17'!#REF!)/ABS('SIG 18-17'!#REF!)&lt;-1,"- 100%",('SIG 18-17'!#REF!-'SIG 18-17'!#REF!)/ABS('SIG 18-17'!#REF!))))</definedName>
    <definedName name="X" localSheetId="12">[4]SIG!#REF!</definedName>
    <definedName name="X" localSheetId="11">[1]SIG!#REF!</definedName>
    <definedName name="X" localSheetId="10">[1]SIG!#REF!</definedName>
    <definedName name="X">'SIG 18-17'!#REF!</definedName>
    <definedName name="xx">[2]SIG!#REF!</definedName>
    <definedName name="_xlnm.Print_Area" localSheetId="0">'BILAN 18-17'!$C$1:$G$45</definedName>
    <definedName name="_xlnm.Print_Area" localSheetId="10">'FLUX TRESO 18-17'!$A$1:$H$45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8" l="1"/>
  <c r="F38" i="18"/>
  <c r="D38" i="18"/>
  <c r="C38" i="18"/>
  <c r="H34" i="18"/>
  <c r="F34" i="18"/>
  <c r="D34" i="18"/>
  <c r="C34" i="18"/>
  <c r="H33" i="18"/>
  <c r="F33" i="18"/>
  <c r="D33" i="18"/>
  <c r="C33" i="18"/>
  <c r="H32" i="18"/>
  <c r="F32" i="18"/>
  <c r="C32" i="18"/>
  <c r="H31" i="18"/>
  <c r="F31" i="18"/>
  <c r="D31" i="18"/>
  <c r="C31" i="18"/>
  <c r="H27" i="18"/>
  <c r="F27" i="18"/>
  <c r="D27" i="18"/>
  <c r="C27" i="18"/>
  <c r="H23" i="18"/>
  <c r="F23" i="18"/>
  <c r="D23" i="18"/>
  <c r="C23" i="18"/>
  <c r="H22" i="18"/>
  <c r="F22" i="18"/>
  <c r="D22" i="18"/>
  <c r="C22" i="18"/>
  <c r="B20" i="18"/>
  <c r="B25" i="18" s="1"/>
  <c r="H18" i="18"/>
  <c r="F18" i="18"/>
  <c r="C18" i="18"/>
  <c r="H17" i="18"/>
  <c r="F17" i="18"/>
  <c r="D17" i="18"/>
  <c r="C17" i="18"/>
  <c r="H16" i="18"/>
  <c r="F16" i="18"/>
  <c r="D16" i="18"/>
  <c r="C16" i="18"/>
  <c r="H14" i="18"/>
  <c r="G14" i="18"/>
  <c r="G20" i="18" s="1"/>
  <c r="F14" i="18"/>
  <c r="E14" i="18"/>
  <c r="E20" i="18" s="1"/>
  <c r="D14" i="18"/>
  <c r="C14" i="18"/>
  <c r="B14" i="18"/>
  <c r="H12" i="18"/>
  <c r="F12" i="18"/>
  <c r="D12" i="18"/>
  <c r="C12" i="18"/>
  <c r="H11" i="18"/>
  <c r="F11" i="18"/>
  <c r="D11" i="18"/>
  <c r="C11" i="18"/>
  <c r="H9" i="18"/>
  <c r="G9" i="18"/>
  <c r="F9" i="18"/>
  <c r="E9" i="18"/>
  <c r="D9" i="18"/>
  <c r="C9" i="18"/>
  <c r="B9" i="18"/>
  <c r="H7" i="18"/>
  <c r="F7" i="18"/>
  <c r="D7" i="18"/>
  <c r="C7" i="18"/>
  <c r="H6" i="18"/>
  <c r="F6" i="18"/>
  <c r="H5" i="18"/>
  <c r="F5" i="18"/>
  <c r="D5" i="18"/>
  <c r="C5" i="18"/>
  <c r="K39" i="17"/>
  <c r="H39" i="17"/>
  <c r="K33" i="17"/>
  <c r="I33" i="17"/>
  <c r="H33" i="17"/>
  <c r="K30" i="17"/>
  <c r="I30" i="17"/>
  <c r="H30" i="17"/>
  <c r="K24" i="17"/>
  <c r="I24" i="17"/>
  <c r="H24" i="17"/>
  <c r="J21" i="17"/>
  <c r="K21" i="17" s="1"/>
  <c r="H21" i="17"/>
  <c r="G21" i="17"/>
  <c r="G36" i="17" s="1"/>
  <c r="K18" i="17"/>
  <c r="I18" i="17"/>
  <c r="H18" i="17"/>
  <c r="K15" i="17"/>
  <c r="J15" i="17"/>
  <c r="I15" i="17"/>
  <c r="H15" i="17"/>
  <c r="G15" i="17"/>
  <c r="K13" i="17"/>
  <c r="I13" i="17"/>
  <c r="H13" i="17"/>
  <c r="K12" i="17"/>
  <c r="I12" i="17"/>
  <c r="H12" i="17"/>
  <c r="K11" i="17"/>
  <c r="I11" i="17"/>
  <c r="H11" i="17"/>
  <c r="K10" i="17"/>
  <c r="I10" i="17"/>
  <c r="H10" i="17"/>
  <c r="K9" i="17"/>
  <c r="I9" i="17"/>
  <c r="H9" i="17"/>
  <c r="K8" i="17"/>
  <c r="I8" i="17"/>
  <c r="H8" i="17"/>
  <c r="K7" i="17"/>
  <c r="I7" i="17"/>
  <c r="H7" i="17"/>
  <c r="I49" i="16"/>
  <c r="G49" i="16"/>
  <c r="I35" i="16"/>
  <c r="G35" i="16"/>
  <c r="I23" i="16"/>
  <c r="G23" i="16"/>
  <c r="C5" i="15"/>
  <c r="D5" i="15"/>
  <c r="F5" i="15"/>
  <c r="H5" i="15"/>
  <c r="F6" i="15"/>
  <c r="H6" i="15"/>
  <c r="C7" i="15"/>
  <c r="D7" i="15"/>
  <c r="F7" i="15"/>
  <c r="H7" i="15"/>
  <c r="B9" i="15"/>
  <c r="C9" i="15"/>
  <c r="D9" i="15"/>
  <c r="E9" i="15"/>
  <c r="F9" i="15"/>
  <c r="G9" i="15"/>
  <c r="H9" i="15"/>
  <c r="C11" i="15"/>
  <c r="D11" i="15"/>
  <c r="F11" i="15"/>
  <c r="H11" i="15"/>
  <c r="C12" i="15"/>
  <c r="D12" i="15"/>
  <c r="F12" i="15"/>
  <c r="H12" i="15"/>
  <c r="B14" i="15"/>
  <c r="C14" i="15"/>
  <c r="D14" i="15"/>
  <c r="E14" i="15"/>
  <c r="F14" i="15"/>
  <c r="G14" i="15"/>
  <c r="H14" i="15"/>
  <c r="C16" i="15"/>
  <c r="D16" i="15"/>
  <c r="F16" i="15"/>
  <c r="H16" i="15"/>
  <c r="C17" i="15"/>
  <c r="D17" i="15"/>
  <c r="F17" i="15"/>
  <c r="H17" i="15"/>
  <c r="C18" i="15"/>
  <c r="D18" i="15"/>
  <c r="F18" i="15"/>
  <c r="H18" i="15"/>
  <c r="B20" i="15"/>
  <c r="C20" i="15"/>
  <c r="D20" i="15"/>
  <c r="E20" i="15"/>
  <c r="F20" i="15"/>
  <c r="G20" i="15"/>
  <c r="H20" i="15"/>
  <c r="C22" i="15"/>
  <c r="D22" i="15"/>
  <c r="F22" i="15"/>
  <c r="H22" i="15"/>
  <c r="C23" i="15"/>
  <c r="D23" i="15"/>
  <c r="F23" i="15"/>
  <c r="H23" i="15"/>
  <c r="B25" i="15"/>
  <c r="C25" i="15"/>
  <c r="D25" i="15"/>
  <c r="E25" i="15"/>
  <c r="F25" i="15"/>
  <c r="G25" i="15"/>
  <c r="H25" i="15"/>
  <c r="C27" i="15"/>
  <c r="D27" i="15"/>
  <c r="F27" i="15"/>
  <c r="H27" i="15"/>
  <c r="B29" i="15"/>
  <c r="C29" i="15"/>
  <c r="D29" i="15"/>
  <c r="E29" i="15"/>
  <c r="F29" i="15"/>
  <c r="G29" i="15"/>
  <c r="H29" i="15"/>
  <c r="C31" i="15"/>
  <c r="D31" i="15"/>
  <c r="F31" i="15"/>
  <c r="H31" i="15"/>
  <c r="C32" i="15"/>
  <c r="F32" i="15"/>
  <c r="H32" i="15"/>
  <c r="C33" i="15"/>
  <c r="D33" i="15"/>
  <c r="F33" i="15"/>
  <c r="H33" i="15"/>
  <c r="C34" i="15"/>
  <c r="D34" i="15"/>
  <c r="F34" i="15"/>
  <c r="H34" i="15"/>
  <c r="B36" i="15"/>
  <c r="C36" i="15"/>
  <c r="D36" i="15"/>
  <c r="E36" i="15"/>
  <c r="F36" i="15"/>
  <c r="G36" i="15"/>
  <c r="H36" i="15"/>
  <c r="C38" i="15"/>
  <c r="D38" i="15"/>
  <c r="F38" i="15"/>
  <c r="H38" i="15"/>
  <c r="B40" i="15"/>
  <c r="C40" i="15"/>
  <c r="D40" i="15"/>
  <c r="E40" i="15"/>
  <c r="F40" i="15"/>
  <c r="G40" i="15"/>
  <c r="H40" i="15"/>
  <c r="G43" i="15"/>
  <c r="H7" i="14"/>
  <c r="I7" i="14"/>
  <c r="K7" i="14"/>
  <c r="H8" i="14"/>
  <c r="I8" i="14"/>
  <c r="K8" i="14"/>
  <c r="H9" i="14"/>
  <c r="I9" i="14"/>
  <c r="K9" i="14"/>
  <c r="H10" i="14"/>
  <c r="I10" i="14"/>
  <c r="K10" i="14"/>
  <c r="H11" i="14"/>
  <c r="I11" i="14"/>
  <c r="K11" i="14"/>
  <c r="H12" i="14"/>
  <c r="I12" i="14"/>
  <c r="K12" i="14"/>
  <c r="H13" i="14"/>
  <c r="I13" i="14"/>
  <c r="K13" i="14"/>
  <c r="G15" i="14"/>
  <c r="H15" i="14"/>
  <c r="I15" i="14"/>
  <c r="J15" i="14"/>
  <c r="K15" i="14"/>
  <c r="H18" i="14"/>
  <c r="I18" i="14"/>
  <c r="K18" i="14"/>
  <c r="G21" i="14"/>
  <c r="H21" i="14"/>
  <c r="I21" i="14"/>
  <c r="J21" i="14"/>
  <c r="K21" i="14"/>
  <c r="H24" i="14"/>
  <c r="I24" i="14"/>
  <c r="K24" i="14"/>
  <c r="H30" i="14"/>
  <c r="I30" i="14"/>
  <c r="K30" i="14"/>
  <c r="H33" i="14"/>
  <c r="I33" i="14"/>
  <c r="K33" i="14"/>
  <c r="G36" i="14"/>
  <c r="H36" i="14"/>
  <c r="I36" i="14"/>
  <c r="J36" i="14"/>
  <c r="K36" i="14"/>
  <c r="H39" i="14"/>
  <c r="K39" i="14"/>
  <c r="G42" i="14"/>
  <c r="H42" i="14"/>
  <c r="I42" i="14"/>
  <c r="J42" i="14"/>
  <c r="K42" i="14"/>
  <c r="G45" i="14"/>
  <c r="J45" i="14"/>
  <c r="G23" i="13"/>
  <c r="I23" i="13"/>
  <c r="G35" i="13"/>
  <c r="I35" i="13"/>
  <c r="G49" i="13"/>
  <c r="I49" i="13"/>
  <c r="F38" i="12"/>
  <c r="D38" i="12"/>
  <c r="C38" i="12"/>
  <c r="F34" i="12"/>
  <c r="D34" i="12"/>
  <c r="C34" i="12"/>
  <c r="F33" i="12"/>
  <c r="D33" i="12"/>
  <c r="C33" i="12"/>
  <c r="F32" i="12"/>
  <c r="C32" i="12"/>
  <c r="F31" i="12"/>
  <c r="D31" i="12"/>
  <c r="C31" i="12"/>
  <c r="F27" i="12"/>
  <c r="D27" i="12"/>
  <c r="C27" i="12"/>
  <c r="F23" i="12"/>
  <c r="D23" i="12"/>
  <c r="C23" i="12"/>
  <c r="F22" i="12"/>
  <c r="D22" i="12"/>
  <c r="C22" i="12"/>
  <c r="F18" i="12"/>
  <c r="D18" i="12"/>
  <c r="C18" i="12"/>
  <c r="F17" i="12"/>
  <c r="D17" i="12"/>
  <c r="C17" i="12"/>
  <c r="F16" i="12"/>
  <c r="D16" i="12"/>
  <c r="C16" i="12"/>
  <c r="F12" i="12"/>
  <c r="C12" i="12"/>
  <c r="B12" i="12"/>
  <c r="D12" i="12" s="1"/>
  <c r="F11" i="12"/>
  <c r="D11" i="12"/>
  <c r="C11" i="12"/>
  <c r="E9" i="12"/>
  <c r="F9" i="12" s="1"/>
  <c r="B9" i="12"/>
  <c r="B14" i="12" s="1"/>
  <c r="C14" i="12" s="1"/>
  <c r="F7" i="12"/>
  <c r="D7" i="12"/>
  <c r="C7" i="12"/>
  <c r="F6" i="12"/>
  <c r="F5" i="12"/>
  <c r="D5" i="12"/>
  <c r="C5" i="12"/>
  <c r="H60" i="11"/>
  <c r="F60" i="11"/>
  <c r="H46" i="11"/>
  <c r="F46" i="11"/>
  <c r="H36" i="11"/>
  <c r="F36" i="11"/>
  <c r="H22" i="11"/>
  <c r="H25" i="11" s="1"/>
  <c r="H52" i="11" s="1"/>
  <c r="F22" i="11"/>
  <c r="F25" i="11" s="1"/>
  <c r="F52" i="11" s="1"/>
  <c r="K39" i="10"/>
  <c r="H39" i="10"/>
  <c r="K33" i="10"/>
  <c r="I33" i="10"/>
  <c r="H33" i="10"/>
  <c r="K30" i="10"/>
  <c r="I30" i="10"/>
  <c r="H30" i="10"/>
  <c r="K24" i="10"/>
  <c r="I24" i="10"/>
  <c r="H24" i="10"/>
  <c r="K18" i="10"/>
  <c r="I18" i="10"/>
  <c r="H18" i="10"/>
  <c r="J15" i="10"/>
  <c r="J21" i="10" s="1"/>
  <c r="K13" i="10"/>
  <c r="I13" i="10"/>
  <c r="H13" i="10"/>
  <c r="K12" i="10"/>
  <c r="I12" i="10"/>
  <c r="H12" i="10"/>
  <c r="K11" i="10"/>
  <c r="G11" i="10"/>
  <c r="G15" i="10" s="1"/>
  <c r="K10" i="10"/>
  <c r="I10" i="10"/>
  <c r="H10" i="10"/>
  <c r="K9" i="10"/>
  <c r="I9" i="10"/>
  <c r="H9" i="10"/>
  <c r="K8" i="10"/>
  <c r="I8" i="10"/>
  <c r="H8" i="10"/>
  <c r="K7" i="10"/>
  <c r="I7" i="10"/>
  <c r="H7" i="10"/>
  <c r="I36" i="9"/>
  <c r="I50" i="9" s="1"/>
  <c r="G36" i="9"/>
  <c r="G50" i="9" s="1"/>
  <c r="I24" i="9"/>
  <c r="G24" i="9"/>
  <c r="G40" i="8"/>
  <c r="I38" i="8"/>
  <c r="G38" i="8"/>
  <c r="E38" i="8"/>
  <c r="D38" i="8"/>
  <c r="G36" i="8"/>
  <c r="I34" i="8"/>
  <c r="G34" i="8"/>
  <c r="E34" i="8"/>
  <c r="D34" i="8"/>
  <c r="I33" i="8"/>
  <c r="G33" i="8"/>
  <c r="E33" i="8"/>
  <c r="D33" i="8"/>
  <c r="I32" i="8"/>
  <c r="G32" i="8"/>
  <c r="I31" i="8"/>
  <c r="G31" i="8"/>
  <c r="E31" i="8"/>
  <c r="B31" i="8"/>
  <c r="D31" i="8" s="1"/>
  <c r="G29" i="8"/>
  <c r="I27" i="8"/>
  <c r="G27" i="8"/>
  <c r="B27" i="8"/>
  <c r="E27" i="8" s="1"/>
  <c r="G25" i="8"/>
  <c r="I23" i="8"/>
  <c r="G23" i="8"/>
  <c r="E23" i="8"/>
  <c r="D23" i="8"/>
  <c r="I22" i="8"/>
  <c r="G22" i="8"/>
  <c r="E22" i="8"/>
  <c r="D22" i="8"/>
  <c r="G20" i="8"/>
  <c r="I18" i="8"/>
  <c r="G18" i="8"/>
  <c r="E18" i="8"/>
  <c r="I17" i="8"/>
  <c r="G17" i="8"/>
  <c r="B17" i="8"/>
  <c r="E17" i="8" s="1"/>
  <c r="I16" i="8"/>
  <c r="G16" i="8"/>
  <c r="B16" i="8"/>
  <c r="E16" i="8" s="1"/>
  <c r="G14" i="8"/>
  <c r="I12" i="8"/>
  <c r="G12" i="8"/>
  <c r="E12" i="8"/>
  <c r="B12" i="8"/>
  <c r="D12" i="8" s="1"/>
  <c r="I11" i="8"/>
  <c r="G11" i="8"/>
  <c r="E11" i="8"/>
  <c r="D11" i="8"/>
  <c r="H9" i="8"/>
  <c r="I9" i="8" s="1"/>
  <c r="G9" i="8"/>
  <c r="I7" i="8"/>
  <c r="G7" i="8"/>
  <c r="B7" i="8"/>
  <c r="E7" i="8" s="1"/>
  <c r="I6" i="8"/>
  <c r="G6" i="8"/>
  <c r="I5" i="8"/>
  <c r="G5" i="8"/>
  <c r="B5" i="8"/>
  <c r="C38" i="8" s="1"/>
  <c r="H60" i="7"/>
  <c r="F60" i="7"/>
  <c r="H47" i="7"/>
  <c r="F47" i="7"/>
  <c r="H37" i="7"/>
  <c r="F37" i="7"/>
  <c r="H23" i="7"/>
  <c r="H26" i="7" s="1"/>
  <c r="F23" i="7"/>
  <c r="F26" i="7" s="1"/>
  <c r="F53" i="7" s="1"/>
  <c r="N42" i="6"/>
  <c r="N39" i="6"/>
  <c r="K39" i="6"/>
  <c r="H39" i="6"/>
  <c r="N36" i="6"/>
  <c r="G36" i="6"/>
  <c r="G42" i="6" s="1"/>
  <c r="N33" i="6"/>
  <c r="K33" i="6"/>
  <c r="I33" i="6"/>
  <c r="H33" i="6"/>
  <c r="N30" i="6"/>
  <c r="K30" i="6"/>
  <c r="I30" i="6"/>
  <c r="H30" i="6"/>
  <c r="N27" i="6"/>
  <c r="N24" i="6"/>
  <c r="K24" i="6"/>
  <c r="I24" i="6"/>
  <c r="H24" i="6"/>
  <c r="N21" i="6"/>
  <c r="H21" i="6"/>
  <c r="G21" i="6"/>
  <c r="N18" i="6"/>
  <c r="K18" i="6"/>
  <c r="I18" i="6"/>
  <c r="H18" i="6"/>
  <c r="N15" i="6"/>
  <c r="J15" i="6"/>
  <c r="K15" i="6" s="1"/>
  <c r="H15" i="6"/>
  <c r="G15" i="6"/>
  <c r="N13" i="6"/>
  <c r="K13" i="6"/>
  <c r="I13" i="6"/>
  <c r="H13" i="6"/>
  <c r="N12" i="6"/>
  <c r="K12" i="6"/>
  <c r="I12" i="6"/>
  <c r="H12" i="6"/>
  <c r="N11" i="6"/>
  <c r="K11" i="6"/>
  <c r="I11" i="6"/>
  <c r="H11" i="6"/>
  <c r="N10" i="6"/>
  <c r="K10" i="6"/>
  <c r="I10" i="6"/>
  <c r="H10" i="6"/>
  <c r="N9" i="6"/>
  <c r="K9" i="6"/>
  <c r="I9" i="6"/>
  <c r="H9" i="6"/>
  <c r="N8" i="6"/>
  <c r="K8" i="6"/>
  <c r="I8" i="6"/>
  <c r="H8" i="6"/>
  <c r="N7" i="6"/>
  <c r="K7" i="6"/>
  <c r="I7" i="6"/>
  <c r="H7" i="6"/>
  <c r="I37" i="5"/>
  <c r="I50" i="5" s="1"/>
  <c r="G37" i="5"/>
  <c r="G50" i="5" s="1"/>
  <c r="G29" i="5"/>
  <c r="I25" i="5"/>
  <c r="G25" i="5"/>
  <c r="C46" i="4"/>
  <c r="F41" i="4"/>
  <c r="G41" i="4" s="1"/>
  <c r="C41" i="4"/>
  <c r="B41" i="4"/>
  <c r="E41" i="4" s="1"/>
  <c r="E40" i="4"/>
  <c r="D40" i="4"/>
  <c r="C40" i="4"/>
  <c r="E39" i="4"/>
  <c r="D39" i="4"/>
  <c r="D41" i="4" s="1"/>
  <c r="C38" i="4"/>
  <c r="E37" i="4"/>
  <c r="D37" i="4"/>
  <c r="E33" i="4"/>
  <c r="D33" i="4"/>
  <c r="C33" i="4"/>
  <c r="E29" i="4"/>
  <c r="D29" i="4"/>
  <c r="E28" i="4"/>
  <c r="D28" i="4"/>
  <c r="C28" i="4"/>
  <c r="E24" i="4"/>
  <c r="E23" i="4"/>
  <c r="D23" i="4"/>
  <c r="E22" i="4"/>
  <c r="D22" i="4"/>
  <c r="E18" i="4"/>
  <c r="D18" i="4"/>
  <c r="E17" i="4"/>
  <c r="D17" i="4"/>
  <c r="F14" i="4"/>
  <c r="G40" i="4" s="1"/>
  <c r="C14" i="4"/>
  <c r="B14" i="4"/>
  <c r="C45" i="4" s="1"/>
  <c r="G12" i="4"/>
  <c r="E12" i="4"/>
  <c r="D12" i="4"/>
  <c r="C12" i="4"/>
  <c r="F9" i="4"/>
  <c r="G9" i="4" s="1"/>
  <c r="C9" i="4"/>
  <c r="B9" i="4"/>
  <c r="C10" i="4" s="1"/>
  <c r="G7" i="4"/>
  <c r="E7" i="4"/>
  <c r="D7" i="4"/>
  <c r="C7" i="4"/>
  <c r="E5" i="4"/>
  <c r="D5" i="4"/>
  <c r="C5" i="4"/>
  <c r="G42" i="3"/>
  <c r="F42" i="3"/>
  <c r="F34" i="3"/>
  <c r="G32" i="3"/>
  <c r="F32" i="3"/>
  <c r="F27" i="3"/>
  <c r="G24" i="3"/>
  <c r="F20" i="3"/>
  <c r="F19" i="3"/>
  <c r="F24" i="3" s="1"/>
  <c r="G13" i="3"/>
  <c r="G16" i="3" s="1"/>
  <c r="F13" i="3"/>
  <c r="F16" i="3" s="1"/>
  <c r="D33" i="2"/>
  <c r="G31" i="2"/>
  <c r="D31" i="2"/>
  <c r="G27" i="2"/>
  <c r="E27" i="2"/>
  <c r="D27" i="2"/>
  <c r="G25" i="2"/>
  <c r="E25" i="2"/>
  <c r="D25" i="2"/>
  <c r="G23" i="2"/>
  <c r="D23" i="2"/>
  <c r="G21" i="2"/>
  <c r="D21" i="2"/>
  <c r="F19" i="2"/>
  <c r="G17" i="2"/>
  <c r="E17" i="2"/>
  <c r="D17" i="2"/>
  <c r="G15" i="2"/>
  <c r="F15" i="2"/>
  <c r="E15" i="2"/>
  <c r="C15" i="2"/>
  <c r="G14" i="2"/>
  <c r="E14" i="2"/>
  <c r="D14" i="2"/>
  <c r="G13" i="2"/>
  <c r="E13" i="2"/>
  <c r="D13" i="2"/>
  <c r="G12" i="2"/>
  <c r="E12" i="2"/>
  <c r="D12" i="2"/>
  <c r="G11" i="2"/>
  <c r="E11" i="2"/>
  <c r="D11" i="2"/>
  <c r="G10" i="2"/>
  <c r="E10" i="2"/>
  <c r="D10" i="2"/>
  <c r="G9" i="2"/>
  <c r="E9" i="2"/>
  <c r="D9" i="2"/>
  <c r="G8" i="2"/>
  <c r="E8" i="2"/>
  <c r="D8" i="2"/>
  <c r="G7" i="2"/>
  <c r="E7" i="2"/>
  <c r="D7" i="2"/>
  <c r="F44" i="1"/>
  <c r="E33" i="1"/>
  <c r="E44" i="1" s="1"/>
  <c r="F25" i="1"/>
  <c r="E25" i="1"/>
  <c r="F23" i="1"/>
  <c r="E23" i="1"/>
  <c r="B29" i="18" l="1"/>
  <c r="C25" i="18"/>
  <c r="G42" i="17"/>
  <c r="H36" i="17"/>
  <c r="E25" i="18"/>
  <c r="F20" i="18"/>
  <c r="G25" i="18"/>
  <c r="H20" i="18"/>
  <c r="J36" i="17"/>
  <c r="D20" i="18"/>
  <c r="I21" i="17"/>
  <c r="C20" i="18"/>
  <c r="E14" i="12"/>
  <c r="E20" i="12" s="1"/>
  <c r="D9" i="12"/>
  <c r="C9" i="12"/>
  <c r="F14" i="12"/>
  <c r="I15" i="10"/>
  <c r="G21" i="10"/>
  <c r="H15" i="10"/>
  <c r="E25" i="12"/>
  <c r="F20" i="12"/>
  <c r="J36" i="10"/>
  <c r="K21" i="10"/>
  <c r="I11" i="10"/>
  <c r="D14" i="12"/>
  <c r="B20" i="12"/>
  <c r="H11" i="10"/>
  <c r="K15" i="10"/>
  <c r="D5" i="8"/>
  <c r="D7" i="8"/>
  <c r="B9" i="8"/>
  <c r="B14" i="8" s="1"/>
  <c r="C11" i="8"/>
  <c r="C12" i="8"/>
  <c r="H14" i="8"/>
  <c r="D16" i="8"/>
  <c r="D17" i="8"/>
  <c r="C18" i="8"/>
  <c r="C23" i="8"/>
  <c r="D27" i="8"/>
  <c r="C31" i="8"/>
  <c r="C33" i="8"/>
  <c r="C5" i="8"/>
  <c r="E5" i="8"/>
  <c r="C7" i="8"/>
  <c r="C16" i="8"/>
  <c r="C17" i="8"/>
  <c r="C22" i="8"/>
  <c r="C27" i="8"/>
  <c r="C32" i="8"/>
  <c r="C34" i="8"/>
  <c r="H53" i="7"/>
  <c r="G45" i="6"/>
  <c r="H42" i="6"/>
  <c r="B20" i="8"/>
  <c r="E14" i="8"/>
  <c r="C14" i="8"/>
  <c r="D14" i="8" s="1"/>
  <c r="J21" i="6"/>
  <c r="I15" i="6"/>
  <c r="H36" i="6"/>
  <c r="C9" i="8"/>
  <c r="D9" i="8" s="1"/>
  <c r="E9" i="8"/>
  <c r="G10" i="4"/>
  <c r="G15" i="4"/>
  <c r="G18" i="4"/>
  <c r="F20" i="4"/>
  <c r="G20" i="4" s="1"/>
  <c r="G23" i="4"/>
  <c r="E9" i="4"/>
  <c r="E14" i="4"/>
  <c r="G14" i="4"/>
  <c r="D14" i="4" s="1"/>
  <c r="C17" i="4"/>
  <c r="B20" i="4"/>
  <c r="C20" i="4" s="1"/>
  <c r="D20" i="4" s="1"/>
  <c r="C22" i="4"/>
  <c r="C24" i="4"/>
  <c r="G24" i="4"/>
  <c r="G29" i="4"/>
  <c r="G37" i="4"/>
  <c r="G39" i="4"/>
  <c r="G36" i="3"/>
  <c r="F36" i="3"/>
  <c r="C19" i="2"/>
  <c r="D15" i="2"/>
  <c r="D9" i="4"/>
  <c r="F29" i="2"/>
  <c r="G19" i="2"/>
  <c r="E20" i="4"/>
  <c r="B26" i="4"/>
  <c r="C15" i="4"/>
  <c r="G17" i="4"/>
  <c r="C18" i="4"/>
  <c r="G22" i="4"/>
  <c r="C23" i="4"/>
  <c r="G28" i="4"/>
  <c r="C29" i="4"/>
  <c r="G33" i="4"/>
  <c r="C37" i="4"/>
  <c r="G38" i="4"/>
  <c r="C39" i="4"/>
  <c r="J42" i="17" l="1"/>
  <c r="K42" i="17" s="1"/>
  <c r="K36" i="17"/>
  <c r="G29" i="18"/>
  <c r="H25" i="18"/>
  <c r="E29" i="18"/>
  <c r="F25" i="18"/>
  <c r="H42" i="17"/>
  <c r="I42" i="17"/>
  <c r="D25" i="18"/>
  <c r="I36" i="17"/>
  <c r="C29" i="18"/>
  <c r="B36" i="18"/>
  <c r="D29" i="18"/>
  <c r="B25" i="12"/>
  <c r="C20" i="12"/>
  <c r="D20" i="12"/>
  <c r="J42" i="10"/>
  <c r="K36" i="10"/>
  <c r="F25" i="12"/>
  <c r="E29" i="12"/>
  <c r="H21" i="10"/>
  <c r="G36" i="10"/>
  <c r="I21" i="10"/>
  <c r="H20" i="8"/>
  <c r="I14" i="8"/>
  <c r="J36" i="6"/>
  <c r="K21" i="6"/>
  <c r="E20" i="8"/>
  <c r="C20" i="8"/>
  <c r="D20" i="8" s="1"/>
  <c r="B25" i="8"/>
  <c r="I21" i="6"/>
  <c r="F26" i="4"/>
  <c r="E26" i="4" s="1"/>
  <c r="C26" i="4"/>
  <c r="B31" i="4"/>
  <c r="F35" i="2"/>
  <c r="G29" i="2"/>
  <c r="E19" i="2"/>
  <c r="C29" i="2"/>
  <c r="D19" i="2"/>
  <c r="F31" i="4"/>
  <c r="B40" i="18" l="1"/>
  <c r="C36" i="18"/>
  <c r="D36" i="18"/>
  <c r="E36" i="18"/>
  <c r="F29" i="18"/>
  <c r="G36" i="18"/>
  <c r="H29" i="18"/>
  <c r="J45" i="10"/>
  <c r="K42" i="10"/>
  <c r="H36" i="10"/>
  <c r="G42" i="10"/>
  <c r="I36" i="10"/>
  <c r="F29" i="12"/>
  <c r="E36" i="12"/>
  <c r="B29" i="12"/>
  <c r="D25" i="12"/>
  <c r="C25" i="12"/>
  <c r="H25" i="8"/>
  <c r="I20" i="8"/>
  <c r="J42" i="6"/>
  <c r="K36" i="6"/>
  <c r="I36" i="6"/>
  <c r="B29" i="8"/>
  <c r="E25" i="8"/>
  <c r="C25" i="8"/>
  <c r="D25" i="8" s="1"/>
  <c r="G26" i="4"/>
  <c r="D26" i="4" s="1"/>
  <c r="F35" i="4"/>
  <c r="G31" i="4"/>
  <c r="F37" i="2"/>
  <c r="G35" i="2"/>
  <c r="D29" i="2"/>
  <c r="C35" i="2"/>
  <c r="E29" i="2"/>
  <c r="B35" i="4"/>
  <c r="E31" i="4"/>
  <c r="C31" i="4"/>
  <c r="C40" i="18" l="1"/>
  <c r="G43" i="18"/>
  <c r="G40" i="18"/>
  <c r="H40" i="18" s="1"/>
  <c r="H36" i="18"/>
  <c r="E40" i="18"/>
  <c r="F40" i="18" s="1"/>
  <c r="F36" i="18"/>
  <c r="F36" i="12"/>
  <c r="E40" i="12"/>
  <c r="F40" i="12" s="1"/>
  <c r="B36" i="12"/>
  <c r="D29" i="12"/>
  <c r="C29" i="12"/>
  <c r="G45" i="10"/>
  <c r="H42" i="10"/>
  <c r="I42" i="10"/>
  <c r="I25" i="8"/>
  <c r="H29" i="8"/>
  <c r="B36" i="8"/>
  <c r="E29" i="8"/>
  <c r="C29" i="8"/>
  <c r="D29" i="8" s="1"/>
  <c r="K42" i="6"/>
  <c r="J45" i="6"/>
  <c r="I42" i="6"/>
  <c r="D31" i="4"/>
  <c r="B43" i="4"/>
  <c r="E35" i="4"/>
  <c r="C35" i="4"/>
  <c r="C37" i="2"/>
  <c r="D35" i="2"/>
  <c r="E35" i="2"/>
  <c r="F43" i="4"/>
  <c r="G35" i="4"/>
  <c r="D40" i="18" l="1"/>
  <c r="B40" i="12"/>
  <c r="D36" i="12"/>
  <c r="C36" i="12"/>
  <c r="I29" i="8"/>
  <c r="H36" i="8"/>
  <c r="E36" i="8"/>
  <c r="C36" i="8"/>
  <c r="D36" i="8" s="1"/>
  <c r="B40" i="8"/>
  <c r="D35" i="4"/>
  <c r="F48" i="4"/>
  <c r="G48" i="4" s="1"/>
  <c r="G43" i="4"/>
  <c r="B48" i="4"/>
  <c r="E43" i="4"/>
  <c r="C43" i="4"/>
  <c r="D43" i="4" s="1"/>
  <c r="D40" i="12" l="1"/>
  <c r="C40" i="12"/>
  <c r="H40" i="8"/>
  <c r="I40" i="8" s="1"/>
  <c r="H43" i="8"/>
  <c r="I36" i="8"/>
  <c r="E40" i="8"/>
  <c r="C40" i="8"/>
  <c r="D40" i="8" s="1"/>
  <c r="E48" i="4"/>
  <c r="C48" i="4"/>
  <c r="D48" i="4" s="1"/>
</calcChain>
</file>

<file path=xl/sharedStrings.xml><?xml version="1.0" encoding="utf-8"?>
<sst xmlns="http://schemas.openxmlformats.org/spreadsheetml/2006/main" count="545" uniqueCount="164">
  <si>
    <t>COMPTES CONSOLIDES AU 30 JUIN 2018</t>
  </si>
  <si>
    <t>1- Bilan Consolidé</t>
  </si>
  <si>
    <t>ACTIF, en EUR</t>
  </si>
  <si>
    <t>Réf. Note</t>
  </si>
  <si>
    <t>Net au 30/06/2018</t>
  </si>
  <si>
    <t>Net au 30/06/2017</t>
  </si>
  <si>
    <t>Actif immobilisé</t>
  </si>
  <si>
    <t>Ecarts d'acquisition</t>
  </si>
  <si>
    <t>Immobilisations incorporelles</t>
  </si>
  <si>
    <t>Immobilisations corporelles</t>
  </si>
  <si>
    <t>Immobilisations financières</t>
  </si>
  <si>
    <t>Participation mise en équivalence</t>
  </si>
  <si>
    <t>Actif circulant</t>
  </si>
  <si>
    <t>Stocks</t>
  </si>
  <si>
    <t>Avances et acomptes versés</t>
  </si>
  <si>
    <t>Clients et comptes rattachés</t>
  </si>
  <si>
    <t>Autres créances et comptes de régularisation</t>
  </si>
  <si>
    <t>Impôts différés actifs</t>
  </si>
  <si>
    <t>Disponibilités</t>
  </si>
  <si>
    <t>TOTAL ACTIF</t>
  </si>
  <si>
    <t>PASSIF, en EUR</t>
  </si>
  <si>
    <t>Capitaux propres part du groupe</t>
  </si>
  <si>
    <t>Capital</t>
  </si>
  <si>
    <t>Primes d'émission, fusion</t>
  </si>
  <si>
    <t>Réserves consolidées</t>
  </si>
  <si>
    <t>Ecart de conversion</t>
  </si>
  <si>
    <t>Résultat consolidé</t>
  </si>
  <si>
    <t>Capitaux propres</t>
  </si>
  <si>
    <t>Provisions pour risques et charges</t>
  </si>
  <si>
    <t>Dettes</t>
  </si>
  <si>
    <t>Emprunts et dettes financières</t>
  </si>
  <si>
    <t>Fournisseurs et comptes rattachés</t>
  </si>
  <si>
    <t>Dettes fiscales et sociales</t>
  </si>
  <si>
    <t>Autres dettes et comptes de régularisation</t>
  </si>
  <si>
    <t>TOTAL PASSIF</t>
  </si>
  <si>
    <t xml:space="preserve">2- Compte de résultat </t>
  </si>
  <si>
    <t>En EUR</t>
  </si>
  <si>
    <t>30/06/2018</t>
  </si>
  <si>
    <t>En %
du CA</t>
  </si>
  <si>
    <t>Evolution</t>
  </si>
  <si>
    <t>30/06/2017</t>
  </si>
  <si>
    <t>Chiffre d'affaires</t>
  </si>
  <si>
    <t>Autres produits d'exploitation</t>
  </si>
  <si>
    <t>Achats consommés</t>
  </si>
  <si>
    <t>Charges de personnel</t>
  </si>
  <si>
    <t>Autres achats et charges externes</t>
  </si>
  <si>
    <t>Impôts et taxes</t>
  </si>
  <si>
    <t>Dotations aux amortissements et aux provisions</t>
  </si>
  <si>
    <t>Autres charges d'exploitation</t>
  </si>
  <si>
    <t>Résultat d'exploitation</t>
  </si>
  <si>
    <t>Charges et produits financiers</t>
  </si>
  <si>
    <t>Résultat courant</t>
  </si>
  <si>
    <t>Charges et produits exceptionnels</t>
  </si>
  <si>
    <t>N/R</t>
  </si>
  <si>
    <t>Participation</t>
  </si>
  <si>
    <t>Impôts sur les résultats</t>
  </si>
  <si>
    <t>Impôts différés sociaux</t>
  </si>
  <si>
    <t>Résultat net</t>
  </si>
  <si>
    <t>Quote-part résultat sociétés mises en équivalence (Enerstone)</t>
  </si>
  <si>
    <t>Dotations et reprises sur écarts d'acquisition</t>
  </si>
  <si>
    <t>Résultat net consolidé</t>
  </si>
  <si>
    <t>Résultat par action</t>
  </si>
  <si>
    <t>3- Flux de trésorerie</t>
  </si>
  <si>
    <t>Flux de trésorerie liés à l'activité</t>
  </si>
  <si>
    <t>Résultat net des sociétés intégrées</t>
  </si>
  <si>
    <t>Elim. des charges et des produits sans incidence sur la tréso ou non liés à l'activité</t>
  </si>
  <si>
    <t>- Résultat des sociétés mises en équivalence</t>
  </si>
  <si>
    <t>- Amortissements et provisions (hors actif circulant)</t>
  </si>
  <si>
    <t>- Variation des impôts différés</t>
  </si>
  <si>
    <t>- VNC des immos cédées</t>
  </si>
  <si>
    <t>Marge brute d'autofinancement des sociétés intégrées</t>
  </si>
  <si>
    <t>Variation du besoin en fonds de roulement lié à l'activité (en net)</t>
  </si>
  <si>
    <t>Flux net de trésorerie généré par l'activité</t>
  </si>
  <si>
    <t>Flux de trésorerie liés aux opérations d'investissement</t>
  </si>
  <si>
    <t>Acquisition d'immobilisations</t>
  </si>
  <si>
    <t>Cessions d'immobilisations</t>
  </si>
  <si>
    <t>Variation d'actions propres</t>
  </si>
  <si>
    <t>Variation du périmètre</t>
  </si>
  <si>
    <t>Flux net de trésorerie lié aux opérations d'investissement</t>
  </si>
  <si>
    <t>Flux de trésorerie liés aux opérations de financement</t>
  </si>
  <si>
    <t>Augmentation/ réduction de capital</t>
  </si>
  <si>
    <t>Dividendes versés aux actionnaires</t>
  </si>
  <si>
    <t>Emissions d'emprunts</t>
  </si>
  <si>
    <t>Remboursement d'emprunts et dettes diverses</t>
  </si>
  <si>
    <t>Flux net de trésorerie lié aux opérations de financement</t>
  </si>
  <si>
    <t>Incidence des variations des cours de devises</t>
  </si>
  <si>
    <t>Variation de trésorerie</t>
  </si>
  <si>
    <t>Trésorerie d'ouverture</t>
  </si>
  <si>
    <t>Trésorerie de clôture</t>
  </si>
  <si>
    <t>Variation de trésorerie nette</t>
  </si>
  <si>
    <t>4- Soldes intermédiaires de gestion</t>
  </si>
  <si>
    <t>en %
du C.A.</t>
  </si>
  <si>
    <t>Evolution en %</t>
  </si>
  <si>
    <t>Vente de marchandises</t>
  </si>
  <si>
    <t xml:space="preserve">       Consommation</t>
  </si>
  <si>
    <t xml:space="preserve">   Marge Commerciale</t>
  </si>
  <si>
    <t>Taux de marge</t>
  </si>
  <si>
    <t>Production vendue</t>
  </si>
  <si>
    <t xml:space="preserve">       Chiffre d'affaires Total</t>
  </si>
  <si>
    <t xml:space="preserve">   +  Autres produits d'exploitation</t>
  </si>
  <si>
    <t xml:space="preserve">   -  Autres achats et charges externes</t>
  </si>
  <si>
    <t xml:space="preserve">   VALEUR AJOUTEE</t>
  </si>
  <si>
    <t xml:space="preserve">   -   Impôts et taxes</t>
  </si>
  <si>
    <t xml:space="preserve">   -   Salaires, traitements, charges...</t>
  </si>
  <si>
    <t xml:space="preserve">   +  Subventions</t>
  </si>
  <si>
    <t xml:space="preserve">   EXCEDENT BRUT D'EXPLOITATION (EBITDA)</t>
  </si>
  <si>
    <t xml:space="preserve">   -   Dotation aux amortissements et provisions</t>
  </si>
  <si>
    <t xml:space="preserve">   +  Reprises sur amortissements et provisions</t>
  </si>
  <si>
    <t xml:space="preserve">   RESULTAT D'EXPLOITATION (EBIT)</t>
  </si>
  <si>
    <t xml:space="preserve">   +/- Charges et produits financiers</t>
  </si>
  <si>
    <t xml:space="preserve">   RESULTAT COURANT</t>
  </si>
  <si>
    <t xml:space="preserve">   +/- Résultat exceptionnel</t>
  </si>
  <si>
    <t xml:space="preserve">   -    Participation des salariés</t>
  </si>
  <si>
    <t xml:space="preserve">   -    Impôt sur les sociétés</t>
  </si>
  <si>
    <t xml:space="preserve">   +/- Impôt différés sociaux</t>
  </si>
  <si>
    <t xml:space="preserve">Sous total charge d'impôt </t>
  </si>
  <si>
    <t xml:space="preserve">   RESULTAT NET</t>
  </si>
  <si>
    <t xml:space="preserve">   +/- QP Rslt Sté Mises en équivalence</t>
  </si>
  <si>
    <t xml:space="preserve">   +/- Dotations et reprises sur écarts d'acquisition</t>
  </si>
  <si>
    <t xml:space="preserve">   RESULTAT NET CONSOLIDE</t>
  </si>
  <si>
    <t>COMPTES CONSOLIDES AU 30 JUIN 2016</t>
  </si>
  <si>
    <t>ACTIF</t>
  </si>
  <si>
    <t>Net au 30/06/2016</t>
  </si>
  <si>
    <t>Net au 30/06/2015</t>
  </si>
  <si>
    <t>PASSIF</t>
  </si>
  <si>
    <t>Réserves consolidés</t>
  </si>
  <si>
    <t>30/06/2016</t>
  </si>
  <si>
    <t>30/06/2015</t>
  </si>
  <si>
    <t>31/12/2015</t>
  </si>
  <si>
    <t>Elimination des charges et des produits sans incidence</t>
  </si>
  <si>
    <t>sur la trésorerie ou non liés à l'activité</t>
  </si>
  <si>
    <t>- Amortissements et provisions</t>
  </si>
  <si>
    <t>- Provisions IDR</t>
  </si>
  <si>
    <t>- Abandon de créances</t>
  </si>
  <si>
    <t>- Autres charges et produits</t>
  </si>
  <si>
    <t>- Retraitements malis sur TUP filiales</t>
  </si>
  <si>
    <t>- Retraitements différences de change</t>
  </si>
  <si>
    <t>- Boni de liquidation</t>
  </si>
  <si>
    <t>Variation du besoin en fonds de roulement lié à l'activité</t>
  </si>
  <si>
    <t>Acquisition d'actions propres</t>
  </si>
  <si>
    <t>Cessions d'actions propres</t>
  </si>
  <si>
    <t>Augmentation de capital</t>
  </si>
  <si>
    <t>Ajustement trésorerie d'ouverture liée aux variations de périmètre</t>
  </si>
  <si>
    <t>SOLDES INTERMEDIAIRES DE GESTION CONSOLIDES</t>
  </si>
  <si>
    <t>31/12/2006
proforma</t>
  </si>
  <si>
    <t xml:space="preserve">       Chiffre d'affaires</t>
  </si>
  <si>
    <t xml:space="preserve">   MARGE BRUTE</t>
  </si>
  <si>
    <t>COMPTES CONSOLIDES AU 30 JUIN 2014</t>
  </si>
  <si>
    <t>Net au 30/06/2014</t>
  </si>
  <si>
    <t>Net au 30/06/2013</t>
  </si>
  <si>
    <t>30/06/2014</t>
  </si>
  <si>
    <t>30/06/2013</t>
  </si>
  <si>
    <t>Ajustement trésorerie d'ouverture</t>
  </si>
  <si>
    <t>(Repositionnement actions propres de VMP à immobilisations financières)</t>
  </si>
  <si>
    <t>Net au 30/06/11</t>
  </si>
  <si>
    <t>Net au 30/06/12</t>
  </si>
  <si>
    <t>COMPTES CONSOLIDES AU 30 JUIN 2012</t>
  </si>
  <si>
    <t>30/06/11</t>
  </si>
  <si>
    <t>30/06/12</t>
  </si>
  <si>
    <t>COMPTES CONSOLIDES AU 30 JUIN 2010</t>
  </si>
  <si>
    <t>Net au 30/06/10</t>
  </si>
  <si>
    <t>Net au 30/06/09</t>
  </si>
  <si>
    <t>30/06/10</t>
  </si>
  <si>
    <t>30/06/09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</si>
</sst>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#,##0.0"/>
    <numFmt numFmtId="167" formatCode="0.0%;\-0.0%;"/>
    <numFmt numFmtId="168" formatCode="#,##0_ ;[Red]\-#,##0\ "/>
    <numFmt numFmtId="169" formatCode="0.0%;[Red]\-0.0%;"/>
    <numFmt numFmtId="170" formatCode="0.0"/>
  </numFmts>
  <fonts count="27" x14ac:knownFonts="1">
    <font>
      <sz val="10"/>
      <name val="Arial"/>
    </font>
    <font>
      <sz val="10"/>
      <name val="Arial"/>
    </font>
    <font>
      <b/>
      <sz val="11"/>
      <color rgb="FF00617F"/>
      <name val="Arial"/>
      <family val="2"/>
    </font>
    <font>
      <sz val="10"/>
      <color rgb="FF00617F"/>
      <name val="Arial"/>
      <family val="2"/>
    </font>
    <font>
      <b/>
      <sz val="10"/>
      <color rgb="FF00617F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8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8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4"/>
      <color indexed="16"/>
      <name val="Helvetica"/>
    </font>
    <font>
      <sz val="14"/>
      <name val="Helvetica"/>
    </font>
    <font>
      <b/>
      <sz val="11"/>
      <name val="Arial"/>
      <family val="2"/>
    </font>
    <font>
      <b/>
      <sz val="11"/>
      <name val="Helvetica"/>
    </font>
    <font>
      <sz val="11"/>
      <color indexed="16"/>
      <name val="Helvetica"/>
    </font>
    <font>
      <b/>
      <sz val="11"/>
      <color indexed="16"/>
      <name val="Helvetica"/>
    </font>
    <font>
      <i/>
      <sz val="10"/>
      <name val="Arial"/>
      <family val="2"/>
    </font>
    <font>
      <i/>
      <u/>
      <sz val="10"/>
      <name val="Arial"/>
      <family val="2"/>
    </font>
    <font>
      <sz val="11"/>
      <name val="Helvetica"/>
    </font>
    <font>
      <sz val="11"/>
      <color indexed="10"/>
      <name val="Helvetica"/>
    </font>
    <font>
      <u/>
      <sz val="10"/>
      <name val="Arial"/>
      <family val="2"/>
    </font>
    <font>
      <b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005F8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</fills>
  <borders count="45">
    <border>
      <left/>
      <right/>
      <top/>
      <bottom/>
      <diagonal/>
    </border>
    <border>
      <left/>
      <right/>
      <top/>
      <bottom style="thin">
        <color rgb="FF00617F"/>
      </bottom>
      <diagonal/>
    </border>
    <border>
      <left/>
      <right/>
      <top/>
      <bottom style="thin">
        <color indexed="64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 style="medium">
        <color rgb="FFFFFFFF"/>
      </right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medium">
        <color rgb="FF666699"/>
      </bottom>
      <diagonal/>
    </border>
    <border>
      <left/>
      <right style="medium">
        <color rgb="FFFFFFFF"/>
      </right>
      <top style="thin">
        <color indexed="64"/>
      </top>
      <bottom style="medium">
        <color rgb="FF666699"/>
      </bottom>
      <diagonal/>
    </border>
    <border>
      <left/>
      <right style="medium">
        <color rgb="FFFFFFFF"/>
      </right>
      <top/>
      <bottom style="medium">
        <color rgb="FF666699"/>
      </bottom>
      <diagonal/>
    </border>
    <border>
      <left/>
      <right/>
      <top style="medium">
        <color rgb="FF666699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 style="thin">
        <color indexed="64"/>
      </bottom>
      <diagonal/>
    </border>
    <border>
      <left/>
      <right style="medium">
        <color rgb="FFFFFFFF"/>
      </right>
      <top style="medium">
        <color theme="0"/>
      </top>
      <bottom style="thin">
        <color indexed="64"/>
      </bottom>
      <diagonal/>
    </border>
    <border>
      <left/>
      <right/>
      <top/>
      <bottom style="medium">
        <color rgb="FF666699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666699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Fill="1"/>
    <xf numFmtId="49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/>
    <xf numFmtId="0" fontId="0" fillId="0" borderId="0" xfId="0" applyAlignment="1">
      <alignment horizontal="center"/>
    </xf>
    <xf numFmtId="3" fontId="0" fillId="0" borderId="0" xfId="0" applyNumberFormat="1" applyFill="1"/>
    <xf numFmtId="0" fontId="0" fillId="0" borderId="2" xfId="0" applyBorder="1"/>
    <xf numFmtId="0" fontId="0" fillId="0" borderId="2" xfId="0" applyBorder="1" applyAlignment="1">
      <alignment horizontal="center"/>
    </xf>
    <xf numFmtId="3" fontId="0" fillId="0" borderId="2" xfId="0" applyNumberFormat="1" applyFill="1" applyBorder="1"/>
    <xf numFmtId="0" fontId="0" fillId="0" borderId="0" xfId="0" applyBorder="1"/>
    <xf numFmtId="0" fontId="5" fillId="2" borderId="3" xfId="0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 applyFill="1"/>
    <xf numFmtId="3" fontId="9" fillId="0" borderId="0" xfId="0" quotePrefix="1" applyNumberFormat="1" applyFont="1"/>
    <xf numFmtId="9" fontId="0" fillId="0" borderId="0" xfId="2" applyFont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3" fontId="8" fillId="0" borderId="2" xfId="0" applyNumberFormat="1" applyFont="1" applyFill="1" applyBorder="1"/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0" fontId="6" fillId="3" borderId="9" xfId="0" applyFont="1" applyFill="1" applyBorder="1" applyAlignment="1">
      <alignment vertical="center"/>
    </xf>
    <xf numFmtId="0" fontId="10" fillId="0" borderId="0" xfId="0" applyFont="1"/>
    <xf numFmtId="0" fontId="11" fillId="0" borderId="2" xfId="0" applyFont="1" applyBorder="1"/>
    <xf numFmtId="165" fontId="0" fillId="0" borderId="2" xfId="0" applyNumberFormat="1" applyFill="1" applyBorder="1"/>
    <xf numFmtId="0" fontId="0" fillId="0" borderId="10" xfId="0" applyBorder="1"/>
    <xf numFmtId="3" fontId="0" fillId="0" borderId="10" xfId="0" applyNumberFormat="1" applyFill="1" applyBorder="1"/>
    <xf numFmtId="165" fontId="0" fillId="0" borderId="10" xfId="0" applyNumberFormat="1" applyFill="1" applyBorder="1"/>
    <xf numFmtId="0" fontId="0" fillId="0" borderId="11" xfId="0" applyBorder="1"/>
    <xf numFmtId="3" fontId="0" fillId="0" borderId="11" xfId="0" applyNumberFormat="1" applyFill="1" applyBorder="1"/>
    <xf numFmtId="165" fontId="0" fillId="0" borderId="11" xfId="0" applyNumberFormat="1" applyFill="1" applyBorder="1"/>
    <xf numFmtId="3" fontId="6" fillId="3" borderId="6" xfId="0" applyNumberFormat="1" applyFont="1" applyFill="1" applyBorder="1" applyAlignment="1">
      <alignment horizontal="center" vertical="center"/>
    </xf>
    <xf numFmtId="165" fontId="6" fillId="3" borderId="6" xfId="2" applyNumberFormat="1" applyFont="1" applyFill="1" applyBorder="1" applyAlignment="1">
      <alignment horizontal="center" vertical="center"/>
    </xf>
    <xf numFmtId="9" fontId="6" fillId="3" borderId="6" xfId="2" applyFont="1" applyFill="1" applyBorder="1" applyAlignment="1">
      <alignment horizontal="center" vertical="center"/>
    </xf>
    <xf numFmtId="165" fontId="7" fillId="3" borderId="6" xfId="2" applyNumberFormat="1" applyFont="1" applyFill="1" applyBorder="1" applyAlignment="1">
      <alignment horizontal="center" vertical="center"/>
    </xf>
    <xf numFmtId="9" fontId="7" fillId="3" borderId="6" xfId="2" applyFont="1" applyFill="1" applyBorder="1" applyAlignment="1">
      <alignment horizontal="center" vertical="center"/>
    </xf>
    <xf numFmtId="165" fontId="0" fillId="0" borderId="0" xfId="0" applyNumberFormat="1"/>
    <xf numFmtId="4" fontId="6" fillId="3" borderId="6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3" fontId="0" fillId="0" borderId="0" xfId="0" applyNumberFormat="1"/>
    <xf numFmtId="3" fontId="0" fillId="0" borderId="2" xfId="0" applyNumberFormat="1" applyBorder="1"/>
    <xf numFmtId="14" fontId="5" fillId="2" borderId="12" xfId="0" applyNumberFormat="1" applyFont="1" applyFill="1" applyBorder="1" applyAlignment="1">
      <alignment horizontal="center" vertical="center" wrapText="1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horizontal="left" vertical="center"/>
    </xf>
    <xf numFmtId="0" fontId="13" fillId="0" borderId="0" xfId="0" applyFont="1"/>
    <xf numFmtId="3" fontId="3" fillId="0" borderId="0" xfId="0" applyNumberFormat="1" applyFont="1" applyAlignment="1">
      <alignment horizontal="left" vertical="top"/>
    </xf>
    <xf numFmtId="3" fontId="7" fillId="3" borderId="14" xfId="0" applyNumberFormat="1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horizontal="left" vertical="center"/>
    </xf>
    <xf numFmtId="3" fontId="6" fillId="3" borderId="13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vertical="center"/>
    </xf>
    <xf numFmtId="0" fontId="14" fillId="3" borderId="16" xfId="0" applyFont="1" applyFill="1" applyBorder="1" applyAlignment="1">
      <alignment vertical="center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0" fontId="9" fillId="0" borderId="0" xfId="0" quotePrefix="1" applyFont="1"/>
    <xf numFmtId="0" fontId="6" fillId="3" borderId="18" xfId="0" applyFont="1" applyFill="1" applyBorder="1" applyAlignment="1">
      <alignment vertical="center"/>
    </xf>
    <xf numFmtId="4" fontId="6" fillId="3" borderId="19" xfId="0" applyNumberFormat="1" applyFont="1" applyFill="1" applyBorder="1" applyAlignment="1">
      <alignment horizontal="center" vertical="center"/>
    </xf>
    <xf numFmtId="9" fontId="6" fillId="3" borderId="13" xfId="2" applyFont="1" applyFill="1" applyBorder="1" applyAlignment="1">
      <alignment horizontal="center" vertical="center"/>
    </xf>
    <xf numFmtId="3" fontId="6" fillId="3" borderId="6" xfId="2" applyNumberFormat="1" applyFont="1" applyFill="1" applyBorder="1" applyAlignment="1">
      <alignment horizontal="center" vertical="center"/>
    </xf>
    <xf numFmtId="0" fontId="0" fillId="0" borderId="13" xfId="0" applyBorder="1"/>
    <xf numFmtId="0" fontId="6" fillId="3" borderId="16" xfId="0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vertical="center"/>
    </xf>
    <xf numFmtId="3" fontId="6" fillId="3" borderId="17" xfId="0" applyNumberFormat="1" applyFont="1" applyFill="1" applyBorder="1" applyAlignment="1">
      <alignment vertical="center"/>
    </xf>
    <xf numFmtId="0" fontId="9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15" fillId="5" borderId="0" xfId="0" applyFont="1" applyFill="1" applyBorder="1" applyAlignment="1">
      <alignment horizontal="centerContinuous" vertical="center" wrapText="1"/>
    </xf>
    <xf numFmtId="3" fontId="16" fillId="4" borderId="0" xfId="0" applyNumberFormat="1" applyFont="1" applyFill="1" applyBorder="1" applyAlignment="1">
      <alignment horizontal="centerContinuous" vertical="center"/>
    </xf>
    <xf numFmtId="14" fontId="16" fillId="4" borderId="0" xfId="0" applyNumberFormat="1" applyFont="1" applyFill="1" applyBorder="1" applyAlignment="1">
      <alignment horizontal="centerContinuous" vertical="center"/>
    </xf>
    <xf numFmtId="0" fontId="0" fillId="4" borderId="0" xfId="0" applyFill="1" applyAlignment="1">
      <alignment vertical="center"/>
    </xf>
    <xf numFmtId="164" fontId="7" fillId="3" borderId="6" xfId="1" applyNumberFormat="1" applyFont="1" applyFill="1" applyBorder="1" applyAlignment="1">
      <alignment horizontal="center" vertical="center"/>
    </xf>
    <xf numFmtId="165" fontId="6" fillId="3" borderId="9" xfId="2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9" fontId="6" fillId="3" borderId="9" xfId="2" applyFont="1" applyFill="1" applyBorder="1" applyAlignment="1">
      <alignment horizontal="center" vertical="center"/>
    </xf>
    <xf numFmtId="167" fontId="0" fillId="0" borderId="0" xfId="0" applyNumberFormat="1"/>
    <xf numFmtId="0" fontId="6" fillId="3" borderId="0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center" vertical="center"/>
    </xf>
    <xf numFmtId="165" fontId="6" fillId="3" borderId="0" xfId="2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168" fontId="0" fillId="0" borderId="0" xfId="0" applyNumberFormat="1"/>
    <xf numFmtId="0" fontId="9" fillId="0" borderId="0" xfId="0" applyFont="1" applyFill="1"/>
    <xf numFmtId="0" fontId="17" fillId="0" borderId="0" xfId="0" applyFont="1"/>
    <xf numFmtId="3" fontId="18" fillId="0" borderId="0" xfId="0" applyNumberFormat="1" applyFont="1" applyBorder="1"/>
    <xf numFmtId="0" fontId="19" fillId="0" borderId="0" xfId="0" applyFont="1" applyBorder="1"/>
    <xf numFmtId="3" fontId="19" fillId="0" borderId="0" xfId="0" applyNumberFormat="1" applyFont="1" applyBorder="1"/>
    <xf numFmtId="3" fontId="20" fillId="0" borderId="0" xfId="0" applyNumberFormat="1" applyFont="1" applyBorder="1"/>
    <xf numFmtId="49" fontId="10" fillId="0" borderId="2" xfId="0" applyNumberFormat="1" applyFont="1" applyBorder="1" applyAlignment="1">
      <alignment vertical="center"/>
    </xf>
    <xf numFmtId="0" fontId="17" fillId="6" borderId="2" xfId="0" applyFont="1" applyFill="1" applyBorder="1" applyAlignment="1">
      <alignment horizontal="center" vertical="center"/>
    </xf>
    <xf numFmtId="0" fontId="0" fillId="6" borderId="2" xfId="0" applyFill="1" applyBorder="1"/>
    <xf numFmtId="0" fontId="10" fillId="6" borderId="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Fill="1"/>
    <xf numFmtId="0" fontId="10" fillId="0" borderId="2" xfId="0" applyFont="1" applyBorder="1"/>
    <xf numFmtId="0" fontId="17" fillId="6" borderId="21" xfId="0" applyFont="1" applyFill="1" applyBorder="1" applyAlignment="1">
      <alignment horizontal="center" vertical="center"/>
    </xf>
    <xf numFmtId="0" fontId="0" fillId="6" borderId="20" xfId="0" applyFill="1" applyBorder="1"/>
    <xf numFmtId="0" fontId="10" fillId="6" borderId="22" xfId="0" applyFont="1" applyFill="1" applyBorder="1" applyAlignment="1">
      <alignment horizontal="center" vertical="center" wrapText="1"/>
    </xf>
    <xf numFmtId="49" fontId="10" fillId="6" borderId="21" xfId="0" applyNumberFormat="1" applyFont="1" applyFill="1" applyBorder="1" applyAlignment="1">
      <alignment horizontal="center" vertical="center" wrapText="1"/>
    </xf>
    <xf numFmtId="49" fontId="10" fillId="6" borderId="20" xfId="0" applyNumberFormat="1" applyFont="1" applyFill="1" applyBorder="1" applyAlignment="1">
      <alignment horizontal="center" vertical="center" wrapText="1"/>
    </xf>
    <xf numFmtId="165" fontId="10" fillId="6" borderId="22" xfId="0" applyNumberFormat="1" applyFont="1" applyFill="1" applyBorder="1" applyAlignment="1">
      <alignment horizontal="center" vertical="center" wrapText="1"/>
    </xf>
    <xf numFmtId="49" fontId="10" fillId="6" borderId="22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 applyAlignment="1">
      <alignment horizontal="center"/>
    </xf>
    <xf numFmtId="3" fontId="0" fillId="0" borderId="23" xfId="0" applyNumberFormat="1" applyFill="1" applyBorder="1"/>
    <xf numFmtId="3" fontId="0" fillId="0" borderId="0" xfId="0" applyNumberFormat="1" applyFill="1" applyBorder="1"/>
    <xf numFmtId="165" fontId="0" fillId="0" borderId="24" xfId="0" applyNumberFormat="1" applyFill="1" applyBorder="1"/>
    <xf numFmtId="3" fontId="0" fillId="0" borderId="23" xfId="0" applyNumberFormat="1" applyBorder="1"/>
    <xf numFmtId="3" fontId="0" fillId="0" borderId="24" xfId="0" applyNumberFormat="1" applyFill="1" applyBorder="1"/>
    <xf numFmtId="165" fontId="0" fillId="0" borderId="0" xfId="0" applyNumberFormat="1" applyFill="1" applyBorder="1"/>
    <xf numFmtId="0" fontId="10" fillId="0" borderId="25" xfId="0" applyFont="1" applyBorder="1"/>
    <xf numFmtId="0" fontId="0" fillId="0" borderId="26" xfId="0" applyBorder="1" applyAlignment="1">
      <alignment horizontal="center"/>
    </xf>
    <xf numFmtId="3" fontId="10" fillId="0" borderId="25" xfId="0" applyNumberFormat="1" applyFont="1" applyFill="1" applyBorder="1"/>
    <xf numFmtId="165" fontId="10" fillId="0" borderId="2" xfId="0" applyNumberFormat="1" applyFont="1" applyFill="1" applyBorder="1"/>
    <xf numFmtId="165" fontId="10" fillId="0" borderId="26" xfId="0" applyNumberFormat="1" applyFont="1" applyFill="1" applyBorder="1"/>
    <xf numFmtId="0" fontId="10" fillId="0" borderId="23" xfId="0" applyFont="1" applyBorder="1"/>
    <xf numFmtId="0" fontId="0" fillId="0" borderId="25" xfId="0" applyBorder="1"/>
    <xf numFmtId="3" fontId="0" fillId="0" borderId="25" xfId="0" applyNumberFormat="1" applyFill="1" applyBorder="1"/>
    <xf numFmtId="165" fontId="0" fillId="0" borderId="26" xfId="0" applyNumberFormat="1" applyFill="1" applyBorder="1"/>
    <xf numFmtId="3" fontId="0" fillId="0" borderId="26" xfId="0" applyNumberFormat="1" applyFill="1" applyBorder="1"/>
    <xf numFmtId="0" fontId="0" fillId="0" borderId="27" xfId="0" applyBorder="1"/>
    <xf numFmtId="0" fontId="0" fillId="0" borderId="24" xfId="0" applyBorder="1"/>
    <xf numFmtId="4" fontId="10" fillId="0" borderId="25" xfId="0" applyNumberFormat="1" applyFont="1" applyFill="1" applyBorder="1"/>
    <xf numFmtId="0" fontId="0" fillId="0" borderId="26" xfId="0" applyBorder="1"/>
    <xf numFmtId="49" fontId="10" fillId="6" borderId="2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9" fillId="0" borderId="0" xfId="0" applyNumberFormat="1" applyFont="1"/>
    <xf numFmtId="0" fontId="21" fillId="0" borderId="2" xfId="0" applyFont="1" applyBorder="1" applyAlignment="1">
      <alignment vertical="center"/>
    </xf>
    <xf numFmtId="3" fontId="21" fillId="0" borderId="2" xfId="0" applyNumberFormat="1" applyFont="1" applyBorder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/>
    <xf numFmtId="3" fontId="10" fillId="6" borderId="0" xfId="0" applyNumberFormat="1" applyFont="1" applyFill="1"/>
    <xf numFmtId="0" fontId="10" fillId="0" borderId="0" xfId="0" applyFont="1" applyFill="1"/>
    <xf numFmtId="0" fontId="22" fillId="0" borderId="0" xfId="0" applyFont="1" applyFill="1"/>
    <xf numFmtId="0" fontId="0" fillId="0" borderId="0" xfId="0" applyFill="1" applyAlignment="1">
      <alignment horizontal="right"/>
    </xf>
    <xf numFmtId="0" fontId="15" fillId="7" borderId="28" xfId="0" applyFont="1" applyFill="1" applyBorder="1" applyAlignment="1">
      <alignment horizontal="centerContinuous" vertical="center" wrapText="1"/>
    </xf>
    <xf numFmtId="3" fontId="16" fillId="6" borderId="29" xfId="0" applyNumberFormat="1" applyFont="1" applyFill="1" applyBorder="1" applyAlignment="1">
      <alignment horizontal="centerContinuous" vertical="center"/>
    </xf>
    <xf numFmtId="14" fontId="16" fillId="6" borderId="29" xfId="0" applyNumberFormat="1" applyFont="1" applyFill="1" applyBorder="1" applyAlignment="1">
      <alignment horizontal="centerContinuous" vertical="center"/>
    </xf>
    <xf numFmtId="14" fontId="16" fillId="6" borderId="30" xfId="0" applyNumberFormat="1" applyFont="1" applyFill="1" applyBorder="1" applyAlignment="1">
      <alignment horizontal="centerContinuous" vertical="center"/>
    </xf>
    <xf numFmtId="0" fontId="15" fillId="7" borderId="0" xfId="0" applyFont="1" applyFill="1" applyBorder="1" applyAlignment="1">
      <alignment horizontal="centerContinuous" vertical="center"/>
    </xf>
    <xf numFmtId="3" fontId="16" fillId="6" borderId="0" xfId="0" applyNumberFormat="1" applyFont="1" applyFill="1" applyBorder="1" applyAlignment="1">
      <alignment horizontal="centerContinuous" vertical="center"/>
    </xf>
    <xf numFmtId="14" fontId="16" fillId="6" borderId="0" xfId="0" applyNumberFormat="1" applyFont="1" applyFill="1" applyBorder="1" applyAlignment="1">
      <alignment horizontal="centerContinuous" vertical="center"/>
    </xf>
    <xf numFmtId="14" fontId="16" fillId="6" borderId="31" xfId="0" applyNumberFormat="1" applyFont="1" applyFill="1" applyBorder="1" applyAlignment="1">
      <alignment horizontal="centerContinuous" vertical="center"/>
    </xf>
    <xf numFmtId="0" fontId="20" fillId="7" borderId="32" xfId="0" applyFont="1" applyFill="1" applyBorder="1" applyAlignment="1">
      <alignment horizontal="center" vertical="center"/>
    </xf>
    <xf numFmtId="14" fontId="20" fillId="7" borderId="33" xfId="0" applyNumberFormat="1" applyFont="1" applyFill="1" applyBorder="1" applyAlignment="1">
      <alignment horizontal="center" vertical="center" wrapText="1"/>
    </xf>
    <xf numFmtId="0" fontId="20" fillId="7" borderId="34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/>
    </xf>
    <xf numFmtId="14" fontId="20" fillId="0" borderId="36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14" fontId="20" fillId="0" borderId="38" xfId="0" applyNumberFormat="1" applyFont="1" applyFill="1" applyBorder="1" applyAlignment="1">
      <alignment horizontal="center"/>
    </xf>
    <xf numFmtId="0" fontId="20" fillId="0" borderId="39" xfId="0" applyFont="1" applyBorder="1"/>
    <xf numFmtId="168" fontId="23" fillId="0" borderId="40" xfId="0" applyNumberFormat="1" applyFont="1" applyBorder="1" applyAlignment="1">
      <alignment horizontal="right"/>
    </xf>
    <xf numFmtId="169" fontId="23" fillId="0" borderId="41" xfId="0" applyNumberFormat="1" applyFont="1" applyBorder="1" applyAlignment="1">
      <alignment horizontal="center"/>
    </xf>
    <xf numFmtId="164" fontId="23" fillId="0" borderId="23" xfId="1" applyNumberFormat="1" applyFont="1" applyBorder="1" applyAlignment="1">
      <alignment horizontal="center"/>
    </xf>
    <xf numFmtId="165" fontId="0" fillId="0" borderId="39" xfId="0" applyNumberFormat="1" applyFill="1" applyBorder="1" applyAlignment="1">
      <alignment horizontal="center"/>
    </xf>
    <xf numFmtId="169" fontId="23" fillId="0" borderId="39" xfId="0" applyNumberFormat="1" applyFont="1" applyBorder="1" applyAlignment="1">
      <alignment horizontal="center"/>
    </xf>
    <xf numFmtId="0" fontId="19" fillId="0" borderId="39" xfId="0" applyFont="1" applyBorder="1"/>
    <xf numFmtId="169" fontId="23" fillId="0" borderId="23" xfId="0" applyNumberFormat="1" applyFont="1" applyBorder="1" applyAlignment="1">
      <alignment horizontal="center"/>
    </xf>
    <xf numFmtId="0" fontId="19" fillId="0" borderId="42" xfId="0" applyFont="1" applyBorder="1"/>
    <xf numFmtId="168" fontId="23" fillId="0" borderId="43" xfId="0" applyNumberFormat="1" applyFont="1" applyBorder="1" applyAlignment="1">
      <alignment horizontal="right"/>
    </xf>
    <xf numFmtId="169" fontId="23" fillId="0" borderId="44" xfId="0" applyNumberFormat="1" applyFont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169" fontId="23" fillId="0" borderId="42" xfId="0" applyNumberFormat="1" applyFont="1" applyBorder="1" applyAlignment="1">
      <alignment horizontal="center"/>
    </xf>
    <xf numFmtId="0" fontId="20" fillId="7" borderId="32" xfId="0" applyFont="1" applyFill="1" applyBorder="1"/>
    <xf numFmtId="168" fontId="18" fillId="7" borderId="33" xfId="0" applyNumberFormat="1" applyFont="1" applyFill="1" applyBorder="1" applyAlignment="1">
      <alignment horizontal="right"/>
    </xf>
    <xf numFmtId="167" fontId="18" fillId="7" borderId="34" xfId="0" applyNumberFormat="1" applyFont="1" applyFill="1" applyBorder="1" applyAlignment="1">
      <alignment horizontal="center"/>
    </xf>
    <xf numFmtId="170" fontId="18" fillId="6" borderId="21" xfId="0" applyNumberFormat="1" applyFont="1" applyFill="1" applyBorder="1" applyAlignment="1">
      <alignment horizontal="center"/>
    </xf>
    <xf numFmtId="169" fontId="18" fillId="6" borderId="32" xfId="0" applyNumberFormat="1" applyFont="1" applyFill="1" applyBorder="1" applyAlignment="1">
      <alignment horizontal="center"/>
    </xf>
    <xf numFmtId="167" fontId="18" fillId="7" borderId="32" xfId="0" applyNumberFormat="1" applyFont="1" applyFill="1" applyBorder="1" applyAlignment="1">
      <alignment horizontal="center"/>
    </xf>
    <xf numFmtId="0" fontId="19" fillId="0" borderId="35" xfId="0" applyFont="1" applyBorder="1"/>
    <xf numFmtId="168" fontId="23" fillId="0" borderId="36" xfId="0" applyNumberFormat="1" applyFont="1" applyBorder="1" applyAlignment="1">
      <alignment horizontal="right"/>
    </xf>
    <xf numFmtId="168" fontId="23" fillId="0" borderId="40" xfId="0" applyNumberFormat="1" applyFont="1" applyFill="1" applyBorder="1" applyAlignment="1">
      <alignment horizontal="right"/>
    </xf>
    <xf numFmtId="168" fontId="18" fillId="7" borderId="33" xfId="0" applyNumberFormat="1" applyFont="1" applyFill="1" applyBorder="1" applyAlignment="1"/>
    <xf numFmtId="0" fontId="20" fillId="0" borderId="39" xfId="0" applyFont="1" applyFill="1" applyBorder="1"/>
    <xf numFmtId="168" fontId="18" fillId="0" borderId="40" xfId="0" applyNumberFormat="1" applyFont="1" applyFill="1" applyBorder="1" applyAlignment="1"/>
    <xf numFmtId="167" fontId="18" fillId="0" borderId="41" xfId="0" applyNumberFormat="1" applyFont="1" applyFill="1" applyBorder="1" applyAlignment="1">
      <alignment horizontal="center"/>
    </xf>
    <xf numFmtId="167" fontId="18" fillId="0" borderId="23" xfId="0" applyNumberFormat="1" applyFont="1" applyFill="1" applyBorder="1" applyAlignment="1">
      <alignment horizontal="center"/>
    </xf>
    <xf numFmtId="167" fontId="18" fillId="0" borderId="39" xfId="0" applyNumberFormat="1" applyFont="1" applyFill="1" applyBorder="1" applyAlignment="1">
      <alignment horizontal="center"/>
    </xf>
    <xf numFmtId="168" fontId="24" fillId="0" borderId="40" xfId="0" applyNumberFormat="1" applyFont="1" applyBorder="1" applyAlignment="1">
      <alignment horizontal="right"/>
    </xf>
    <xf numFmtId="168" fontId="23" fillId="0" borderId="40" xfId="0" applyNumberFormat="1" applyFont="1" applyFill="1" applyBorder="1" applyAlignment="1"/>
    <xf numFmtId="3" fontId="10" fillId="0" borderId="25" xfId="0" applyNumberFormat="1" applyFont="1" applyBorder="1"/>
    <xf numFmtId="3" fontId="0" fillId="0" borderId="25" xfId="0" applyNumberFormat="1" applyBorder="1"/>
    <xf numFmtId="4" fontId="10" fillId="0" borderId="25" xfId="0" applyNumberFormat="1" applyFont="1" applyBorder="1"/>
    <xf numFmtId="0" fontId="25" fillId="0" borderId="0" xfId="0" applyFont="1" applyFill="1"/>
    <xf numFmtId="3" fontId="10" fillId="0" borderId="0" xfId="0" applyNumberFormat="1" applyFont="1" applyFill="1" applyBorder="1"/>
    <xf numFmtId="168" fontId="23" fillId="0" borderId="26" xfId="0" applyNumberFormat="1" applyFont="1" applyBorder="1" applyAlignment="1">
      <alignment horizontal="right"/>
    </xf>
    <xf numFmtId="168" fontId="18" fillId="7" borderId="22" xfId="0" applyNumberFormat="1" applyFont="1" applyFill="1" applyBorder="1" applyAlignment="1">
      <alignment horizontal="right"/>
    </xf>
    <xf numFmtId="168" fontId="23" fillId="0" borderId="38" xfId="0" applyNumberFormat="1" applyFont="1" applyBorder="1" applyAlignment="1">
      <alignment horizontal="right"/>
    </xf>
    <xf numFmtId="168" fontId="18" fillId="7" borderId="22" xfId="0" applyNumberFormat="1" applyFont="1" applyFill="1" applyBorder="1" applyAlignment="1"/>
    <xf numFmtId="168" fontId="18" fillId="0" borderId="24" xfId="0" applyNumberFormat="1" applyFont="1" applyFill="1" applyBorder="1" applyAlignment="1"/>
    <xf numFmtId="168" fontId="23" fillId="0" borderId="24" xfId="0" applyNumberFormat="1" applyFont="1" applyBorder="1" applyAlignment="1">
      <alignment horizontal="right"/>
    </xf>
    <xf numFmtId="3" fontId="10" fillId="6" borderId="2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1" fillId="0" borderId="0" xfId="0" applyFont="1" applyFill="1"/>
    <xf numFmtId="14" fontId="20" fillId="7" borderId="22" xfId="0" applyNumberFormat="1" applyFont="1" applyFill="1" applyBorder="1" applyAlignment="1">
      <alignment horizontal="center" vertical="center"/>
    </xf>
    <xf numFmtId="165" fontId="0" fillId="0" borderId="39" xfId="0" applyNumberFormat="1" applyFill="1" applyBorder="1"/>
    <xf numFmtId="168" fontId="23" fillId="0" borderId="24" xfId="0" applyNumberFormat="1" applyFont="1" applyFill="1" applyBorder="1" applyAlignment="1">
      <alignment horizontal="right"/>
    </xf>
    <xf numFmtId="168" fontId="23" fillId="0" borderId="24" xfId="0" applyNumberFormat="1" applyFont="1" applyFill="1" applyBorder="1" applyAlignment="1"/>
  </cellXfs>
  <cellStyles count="3">
    <cellStyle name="Milliers" xfId="1" builtinId="3"/>
    <cellStyle name="Normal" xfId="0" builtinId="0"/>
    <cellStyle name="Pourcentage" xfId="2" builtinId="5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i.local\vdifiles\Commun\Dossiers%20Personnels\gt\GT\Bilans\Bilans%20consolid&#233;s\2007\12%202007\Comptes%20consolid&#233;s%2031%2012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I.local\vdifiles\Finance\Bilans\Bilans%20consolid&#233;s\VDI\2012\12%202012\Comptes%20consolid&#233;s%2031%2012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I.local\vdifiles\Comptabilit&#233;\Controle%20de%20gestion\Responsable\Bilans\Bilans%20consolid&#233;s\2009\12%202009\Comptes%20consolid&#233;s%2031%2012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/Dossiers%20Personnels/gt/GT/Bilans/Bilans%20consolid&#233;s/2007/12%202007/Comptes%20consolid&#233;s%2031%2012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CPTE RESULTAT"/>
      <sheetName val="FLUX TRESO"/>
      <sheetName val="SI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CPTE RESULTAT"/>
      <sheetName val="FLUX TRESO"/>
      <sheetName val="SIG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CPTE RESULTAT"/>
      <sheetName val="FLUX TRESO"/>
      <sheetName val="SIG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CPTE RESULTAT"/>
      <sheetName val="FLUX TRESO"/>
      <sheetName val="SIG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topLeftCell="B1" workbookViewId="0">
      <pane xSplit="3" ySplit="6" topLeftCell="E21" activePane="bottomRight" state="frozen"/>
      <selection activeCell="H39" sqref="H39:H45"/>
      <selection pane="topRight" activeCell="H39" sqref="H39:H45"/>
      <selection pane="bottomLeft" activeCell="H39" sqref="H39:H45"/>
      <selection pane="bottomRight" activeCell="K39" sqref="K39"/>
    </sheetView>
  </sheetViews>
  <sheetFormatPr baseColWidth="10" defaultRowHeight="12.75" outlineLevelCol="1" x14ac:dyDescent="0.2"/>
  <cols>
    <col min="1" max="1" width="4.140625" customWidth="1"/>
    <col min="2" max="2" width="2" customWidth="1"/>
    <col min="3" max="3" width="40.5703125" customWidth="1"/>
    <col min="4" max="4" width="15.5703125" style="8" hidden="1" customWidth="1" outlineLevel="1"/>
    <col min="5" max="5" width="12.7109375" style="9" customWidth="1" collapsed="1"/>
  </cols>
  <sheetData>
    <row r="1" spans="1:7" ht="15" x14ac:dyDescent="0.25">
      <c r="B1" s="1" t="s">
        <v>0</v>
      </c>
      <c r="C1" s="2"/>
      <c r="D1" s="3"/>
      <c r="E1" s="4"/>
      <c r="F1" s="2"/>
    </row>
    <row r="2" spans="1:7" x14ac:dyDescent="0.2">
      <c r="B2" s="2"/>
      <c r="C2" s="2"/>
      <c r="D2" s="3"/>
      <c r="E2" s="4"/>
      <c r="F2" s="2"/>
    </row>
    <row r="3" spans="1:7" ht="18" customHeight="1" x14ac:dyDescent="0.2">
      <c r="B3" s="5" t="s">
        <v>1</v>
      </c>
      <c r="C3" s="5"/>
      <c r="D3" s="6"/>
      <c r="E3" s="7"/>
      <c r="F3" s="7"/>
    </row>
    <row r="4" spans="1:7" x14ac:dyDescent="0.2">
      <c r="F4" s="9"/>
    </row>
    <row r="5" spans="1:7" ht="13.5" thickBot="1" x14ac:dyDescent="0.25">
      <c r="C5" s="10"/>
      <c r="D5" s="11"/>
      <c r="E5" s="12"/>
      <c r="F5" s="12"/>
    </row>
    <row r="6" spans="1:7" ht="27.75" customHeight="1" thickBot="1" x14ac:dyDescent="0.25">
      <c r="A6" s="13"/>
      <c r="B6" s="13"/>
      <c r="C6" s="14" t="s">
        <v>2</v>
      </c>
      <c r="D6" s="15" t="s">
        <v>3</v>
      </c>
      <c r="E6" s="15" t="s">
        <v>4</v>
      </c>
      <c r="F6" s="16" t="s">
        <v>5</v>
      </c>
    </row>
    <row r="7" spans="1:7" ht="4.5" customHeight="1" thickBot="1" x14ac:dyDescent="0.25">
      <c r="F7" s="9"/>
    </row>
    <row r="8" spans="1:7" ht="13.5" thickBot="1" x14ac:dyDescent="0.25">
      <c r="C8" s="17" t="s">
        <v>6</v>
      </c>
      <c r="D8" s="18"/>
      <c r="E8" s="18"/>
      <c r="F8" s="18"/>
    </row>
    <row r="9" spans="1:7" ht="13.5" thickBot="1" x14ac:dyDescent="0.25">
      <c r="C9" s="19" t="s">
        <v>7</v>
      </c>
      <c r="D9" s="18"/>
      <c r="E9" s="18">
        <v>1443645</v>
      </c>
      <c r="F9" s="18">
        <v>1671032</v>
      </c>
    </row>
    <row r="10" spans="1:7" ht="13.5" thickBot="1" x14ac:dyDescent="0.25">
      <c r="C10" s="19" t="s">
        <v>8</v>
      </c>
      <c r="D10" s="18"/>
      <c r="E10" s="18">
        <v>1164618</v>
      </c>
      <c r="F10" s="18">
        <v>1305578</v>
      </c>
    </row>
    <row r="11" spans="1:7" ht="13.5" thickBot="1" x14ac:dyDescent="0.25">
      <c r="C11" s="19" t="s">
        <v>9</v>
      </c>
      <c r="D11" s="18"/>
      <c r="E11" s="18">
        <v>1110719</v>
      </c>
      <c r="F11" s="18">
        <v>1337137</v>
      </c>
    </row>
    <row r="12" spans="1:7" ht="13.5" thickBot="1" x14ac:dyDescent="0.25">
      <c r="C12" s="19" t="s">
        <v>10</v>
      </c>
      <c r="D12" s="18"/>
      <c r="E12" s="18">
        <v>210485</v>
      </c>
      <c r="F12" s="18">
        <v>212656</v>
      </c>
    </row>
    <row r="13" spans="1:7" ht="13.5" thickBot="1" x14ac:dyDescent="0.25">
      <c r="C13" s="19" t="s">
        <v>11</v>
      </c>
      <c r="D13" s="18"/>
      <c r="E13" s="18">
        <v>15211</v>
      </c>
      <c r="F13" s="18">
        <v>15211</v>
      </c>
    </row>
    <row r="14" spans="1:7" ht="5.25" customHeight="1" thickBot="1" x14ac:dyDescent="0.25">
      <c r="C14" s="20"/>
      <c r="D14" s="21"/>
      <c r="E14" s="22"/>
      <c r="F14" s="22"/>
    </row>
    <row r="15" spans="1:7" ht="13.5" thickBot="1" x14ac:dyDescent="0.25">
      <c r="C15" s="17" t="s">
        <v>12</v>
      </c>
      <c r="D15" s="18"/>
      <c r="E15" s="18"/>
      <c r="F15" s="18"/>
    </row>
    <row r="16" spans="1:7" ht="13.5" thickBot="1" x14ac:dyDescent="0.25">
      <c r="C16" s="19" t="s">
        <v>13</v>
      </c>
      <c r="D16" s="18"/>
      <c r="E16" s="18">
        <v>8209245</v>
      </c>
      <c r="F16" s="18">
        <v>9649242</v>
      </c>
      <c r="G16" s="23"/>
    </row>
    <row r="17" spans="3:8" ht="13.5" thickBot="1" x14ac:dyDescent="0.25">
      <c r="C17" s="19" t="s">
        <v>14</v>
      </c>
      <c r="D17" s="18"/>
      <c r="E17" s="18">
        <v>307701</v>
      </c>
      <c r="F17" s="18">
        <v>298338</v>
      </c>
      <c r="G17" s="23"/>
    </row>
    <row r="18" spans="3:8" ht="13.5" thickBot="1" x14ac:dyDescent="0.25">
      <c r="C18" s="19" t="s">
        <v>15</v>
      </c>
      <c r="D18" s="18"/>
      <c r="E18" s="18">
        <v>6270767</v>
      </c>
      <c r="F18" s="18">
        <v>6586151</v>
      </c>
      <c r="G18" s="23"/>
      <c r="H18" s="24"/>
    </row>
    <row r="19" spans="3:8" ht="13.5" thickBot="1" x14ac:dyDescent="0.25">
      <c r="C19" s="19" t="s">
        <v>16</v>
      </c>
      <c r="D19" s="18"/>
      <c r="E19" s="18">
        <v>1653658</v>
      </c>
      <c r="F19" s="18">
        <v>1254585</v>
      </c>
      <c r="G19" s="23"/>
    </row>
    <row r="20" spans="3:8" ht="13.5" thickBot="1" x14ac:dyDescent="0.25">
      <c r="C20" s="19" t="s">
        <v>17</v>
      </c>
      <c r="D20" s="18"/>
      <c r="E20" s="18">
        <v>214351</v>
      </c>
      <c r="F20" s="18">
        <v>186768</v>
      </c>
    </row>
    <row r="21" spans="3:8" ht="13.5" thickBot="1" x14ac:dyDescent="0.25">
      <c r="C21" s="19" t="s">
        <v>18</v>
      </c>
      <c r="D21" s="18"/>
      <c r="E21" s="18">
        <v>3041370</v>
      </c>
      <c r="F21" s="18">
        <v>6078082</v>
      </c>
      <c r="G21" s="23"/>
    </row>
    <row r="22" spans="3:8" ht="7.5" customHeight="1" x14ac:dyDescent="0.2">
      <c r="C22" s="25"/>
      <c r="D22" s="26"/>
      <c r="E22" s="27"/>
      <c r="F22" s="27"/>
    </row>
    <row r="23" spans="3:8" ht="18" customHeight="1" thickBot="1" x14ac:dyDescent="0.25">
      <c r="C23" s="28" t="s">
        <v>19</v>
      </c>
      <c r="D23" s="29"/>
      <c r="E23" s="30">
        <f>SUM(E9:E22)</f>
        <v>23641770</v>
      </c>
      <c r="F23" s="30">
        <f>SUM(F9:F22)</f>
        <v>28594780</v>
      </c>
    </row>
    <row r="24" spans="3:8" ht="13.5" thickBot="1" x14ac:dyDescent="0.25">
      <c r="C24" s="10"/>
      <c r="D24" s="10"/>
      <c r="E24" s="10"/>
      <c r="F24" s="10"/>
    </row>
    <row r="25" spans="3:8" ht="26.25" thickBot="1" x14ac:dyDescent="0.25">
      <c r="C25" s="14" t="s">
        <v>20</v>
      </c>
      <c r="D25" s="15" t="s">
        <v>3</v>
      </c>
      <c r="E25" s="15" t="str">
        <f>E6</f>
        <v>Net au 30/06/2018</v>
      </c>
      <c r="F25" s="16" t="str">
        <f>F6</f>
        <v>Net au 30/06/2017</v>
      </c>
    </row>
    <row r="26" spans="3:8" ht="5.25" customHeight="1" thickBot="1" x14ac:dyDescent="0.25">
      <c r="F26" s="9"/>
    </row>
    <row r="27" spans="3:8" ht="13.5" thickBot="1" x14ac:dyDescent="0.25">
      <c r="C27" s="17" t="s">
        <v>21</v>
      </c>
      <c r="D27" s="18"/>
      <c r="E27" s="18"/>
      <c r="F27" s="18"/>
    </row>
    <row r="28" spans="3:8" ht="13.5" thickBot="1" x14ac:dyDescent="0.25">
      <c r="C28" s="19" t="s">
        <v>22</v>
      </c>
      <c r="D28" s="18"/>
      <c r="E28" s="18">
        <v>2886040</v>
      </c>
      <c r="F28" s="18">
        <v>2973750</v>
      </c>
      <c r="G28" s="23"/>
    </row>
    <row r="29" spans="3:8" ht="13.5" thickBot="1" x14ac:dyDescent="0.25">
      <c r="C29" s="19" t="s">
        <v>23</v>
      </c>
      <c r="D29" s="18"/>
      <c r="E29" s="18">
        <v>7921475</v>
      </c>
      <c r="F29" s="18">
        <v>7769299</v>
      </c>
      <c r="G29" s="23"/>
    </row>
    <row r="30" spans="3:8" ht="13.5" thickBot="1" x14ac:dyDescent="0.25">
      <c r="C30" s="19" t="s">
        <v>24</v>
      </c>
      <c r="D30" s="18"/>
      <c r="E30" s="18">
        <v>1614458</v>
      </c>
      <c r="F30" s="18">
        <v>-1035888</v>
      </c>
      <c r="G30" s="23"/>
    </row>
    <row r="31" spans="3:8" ht="13.5" thickBot="1" x14ac:dyDescent="0.25">
      <c r="C31" s="19" t="s">
        <v>25</v>
      </c>
      <c r="D31" s="18"/>
      <c r="E31" s="18">
        <v>-590232</v>
      </c>
      <c r="F31" s="18">
        <v>-534843</v>
      </c>
      <c r="G31" s="23"/>
    </row>
    <row r="32" spans="3:8" ht="13.5" thickBot="1" x14ac:dyDescent="0.25">
      <c r="C32" s="19" t="s">
        <v>26</v>
      </c>
      <c r="D32" s="18"/>
      <c r="E32" s="18">
        <v>-121684</v>
      </c>
      <c r="F32" s="18">
        <v>5014059</v>
      </c>
      <c r="G32" s="31"/>
    </row>
    <row r="33" spans="3:9" s="33" customFormat="1" ht="13.5" thickBot="1" x14ac:dyDescent="0.25">
      <c r="C33" s="32" t="s">
        <v>27</v>
      </c>
      <c r="D33" s="30"/>
      <c r="E33" s="30">
        <f>SUM(E28:E32)</f>
        <v>11710057</v>
      </c>
      <c r="F33" s="30">
        <v>14186377</v>
      </c>
      <c r="G33"/>
      <c r="H33"/>
    </row>
    <row r="34" spans="3:9" ht="7.5" customHeight="1" x14ac:dyDescent="0.2">
      <c r="C34" s="25"/>
      <c r="D34" s="26"/>
      <c r="E34" s="27"/>
      <c r="F34" s="27"/>
    </row>
    <row r="35" spans="3:9" ht="13.5" thickBot="1" x14ac:dyDescent="0.25">
      <c r="C35" s="32" t="s">
        <v>28</v>
      </c>
      <c r="D35" s="30"/>
      <c r="E35" s="30">
        <v>131690</v>
      </c>
      <c r="F35" s="30">
        <v>121676</v>
      </c>
    </row>
    <row r="36" spans="3:9" ht="7.5" customHeight="1" x14ac:dyDescent="0.2">
      <c r="C36" s="34"/>
      <c r="D36" s="26"/>
      <c r="E36" s="27"/>
      <c r="F36" s="27"/>
    </row>
    <row r="37" spans="3:9" ht="7.5" customHeight="1" thickBot="1" x14ac:dyDescent="0.25">
      <c r="C37" s="20"/>
      <c r="D37" s="21"/>
      <c r="E37" s="22"/>
      <c r="F37" s="22"/>
    </row>
    <row r="38" spans="3:9" ht="13.5" thickBot="1" x14ac:dyDescent="0.25">
      <c r="C38" s="17" t="s">
        <v>29</v>
      </c>
      <c r="D38" s="18"/>
      <c r="E38" s="18"/>
      <c r="F38" s="18"/>
    </row>
    <row r="39" spans="3:9" ht="13.5" thickBot="1" x14ac:dyDescent="0.25">
      <c r="C39" s="19" t="s">
        <v>30</v>
      </c>
      <c r="D39" s="18"/>
      <c r="E39" s="18">
        <v>3438216</v>
      </c>
      <c r="F39" s="18">
        <v>6501493</v>
      </c>
      <c r="G39" s="23"/>
    </row>
    <row r="40" spans="3:9" ht="13.5" thickBot="1" x14ac:dyDescent="0.25">
      <c r="C40" s="19" t="s">
        <v>31</v>
      </c>
      <c r="D40" s="18"/>
      <c r="E40" s="18">
        <v>5664076</v>
      </c>
      <c r="F40" s="18">
        <v>4807122</v>
      </c>
      <c r="G40" s="23"/>
    </row>
    <row r="41" spans="3:9" ht="13.5" thickBot="1" x14ac:dyDescent="0.25">
      <c r="C41" s="19" t="s">
        <v>32</v>
      </c>
      <c r="D41" s="18"/>
      <c r="E41" s="18">
        <v>2099839</v>
      </c>
      <c r="F41" s="18">
        <v>2209497</v>
      </c>
      <c r="G41" s="23"/>
    </row>
    <row r="42" spans="3:9" ht="13.5" thickBot="1" x14ac:dyDescent="0.25">
      <c r="C42" s="19" t="s">
        <v>33</v>
      </c>
      <c r="D42" s="18"/>
      <c r="E42" s="18">
        <v>597892</v>
      </c>
      <c r="F42" s="18">
        <v>768615</v>
      </c>
      <c r="G42" s="23"/>
    </row>
    <row r="43" spans="3:9" ht="6" customHeight="1" x14ac:dyDescent="0.2">
      <c r="C43" s="25"/>
      <c r="D43" s="26"/>
      <c r="E43" s="27"/>
      <c r="F43" s="27"/>
    </row>
    <row r="44" spans="3:9" ht="18.75" customHeight="1" thickBot="1" x14ac:dyDescent="0.25">
      <c r="C44" s="28" t="s">
        <v>34</v>
      </c>
      <c r="D44" s="29"/>
      <c r="E44" s="30">
        <f>SUM(E33:E39,E40,E41,E42)</f>
        <v>23641770</v>
      </c>
      <c r="F44" s="30">
        <f>SUM(F33:F39,F40,F41,F42)</f>
        <v>28594780</v>
      </c>
    </row>
    <row r="45" spans="3:9" x14ac:dyDescent="0.2">
      <c r="F45" s="9"/>
    </row>
    <row r="46" spans="3:9" x14ac:dyDescent="0.2">
      <c r="C46" s="2"/>
      <c r="D46" s="3"/>
      <c r="E46" s="4"/>
      <c r="F46" s="2"/>
      <c r="G46" s="2"/>
      <c r="H46" s="2"/>
      <c r="I46" s="2"/>
    </row>
  </sheetData>
  <pageMargins left="0.41" right="0.36" top="0.984251969" bottom="0.984251969" header="0.4921259845" footer="0.492125984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zoomScale="90" workbookViewId="0">
      <selection activeCell="G1" sqref="G1:H65536"/>
    </sheetView>
  </sheetViews>
  <sheetFormatPr baseColWidth="10" defaultRowHeight="12.75" x14ac:dyDescent="0.2"/>
  <cols>
    <col min="1" max="1" width="4.140625" customWidth="1"/>
    <col min="5" max="5" width="8.28515625" customWidth="1"/>
    <col min="6" max="6" width="10" style="8" customWidth="1"/>
    <col min="7" max="8" width="11.42578125" style="9"/>
    <col min="9" max="9" width="11.42578125" style="49"/>
    <col min="10" max="10" width="11.42578125" style="50"/>
    <col min="11" max="11" width="11.42578125" style="9"/>
  </cols>
  <sheetData>
    <row r="1" spans="1:12" ht="18" customHeight="1" x14ac:dyDescent="0.2">
      <c r="A1" s="103" t="s">
        <v>35</v>
      </c>
      <c r="B1" s="103"/>
      <c r="C1" s="10"/>
      <c r="D1" s="10"/>
      <c r="E1" s="10"/>
      <c r="F1" s="11"/>
      <c r="G1" s="12"/>
      <c r="H1" s="12"/>
      <c r="I1" s="35"/>
      <c r="J1" s="51"/>
      <c r="K1" s="12"/>
    </row>
    <row r="3" spans="1:12" x14ac:dyDescent="0.2">
      <c r="B3" s="10"/>
      <c r="C3" s="10"/>
      <c r="D3" s="10"/>
      <c r="E3" s="10"/>
      <c r="F3" s="11"/>
      <c r="G3" s="12"/>
      <c r="H3" s="12"/>
      <c r="I3" s="35"/>
      <c r="J3" s="51"/>
      <c r="K3" s="12"/>
    </row>
    <row r="4" spans="1:12" ht="26.25" customHeight="1" x14ac:dyDescent="0.2">
      <c r="A4" s="13"/>
      <c r="B4" s="113"/>
      <c r="C4" s="114"/>
      <c r="D4" s="114"/>
      <c r="E4" s="114"/>
      <c r="F4" s="115"/>
      <c r="G4" s="116" t="s">
        <v>162</v>
      </c>
      <c r="H4" s="117" t="s">
        <v>38</v>
      </c>
      <c r="I4" s="118" t="s">
        <v>39</v>
      </c>
      <c r="J4" s="116" t="s">
        <v>163</v>
      </c>
      <c r="K4" s="119" t="s">
        <v>38</v>
      </c>
    </row>
    <row r="5" spans="1:12" ht="7.5" customHeight="1" x14ac:dyDescent="0.2">
      <c r="B5" s="120"/>
      <c r="C5" s="13"/>
      <c r="D5" s="13"/>
      <c r="E5" s="13"/>
      <c r="F5" s="121"/>
      <c r="G5" s="122"/>
      <c r="H5" s="123"/>
      <c r="I5" s="124"/>
      <c r="J5" s="125"/>
      <c r="K5" s="126"/>
    </row>
    <row r="6" spans="1:12" ht="9" customHeight="1" x14ac:dyDescent="0.2">
      <c r="B6" s="120"/>
      <c r="C6" s="13"/>
      <c r="D6" s="13"/>
      <c r="E6" s="13"/>
      <c r="F6" s="121"/>
      <c r="G6" s="122"/>
      <c r="H6" s="123"/>
      <c r="I6" s="124"/>
      <c r="J6" s="125"/>
      <c r="K6" s="126"/>
    </row>
    <row r="7" spans="1:12" ht="13.5" customHeight="1" x14ac:dyDescent="0.2">
      <c r="B7" s="120" t="s">
        <v>41</v>
      </c>
      <c r="C7" s="13"/>
      <c r="D7" s="13"/>
      <c r="E7" s="13"/>
      <c r="F7" s="121"/>
      <c r="G7" s="122">
        <v>24387584</v>
      </c>
      <c r="H7" s="127">
        <f>G7/$G$7</f>
        <v>1</v>
      </c>
      <c r="I7" s="124">
        <f t="shared" ref="I7:I13" si="0">G7/J7-1</f>
        <v>1.8602127255765266E-2</v>
      </c>
      <c r="J7" s="122">
        <v>23942208</v>
      </c>
      <c r="K7" s="124">
        <f t="shared" ref="K7:K13" si="1">J7/$J$7</f>
        <v>1</v>
      </c>
    </row>
    <row r="8" spans="1:12" ht="13.5" customHeight="1" x14ac:dyDescent="0.2">
      <c r="B8" s="120" t="s">
        <v>42</v>
      </c>
      <c r="C8" s="13"/>
      <c r="D8" s="13"/>
      <c r="E8" s="13"/>
      <c r="F8" s="121"/>
      <c r="G8" s="122">
        <v>454696</v>
      </c>
      <c r="H8" s="127">
        <f t="shared" ref="H8:H13" si="2">G8/$G$7</f>
        <v>1.8644569302149815E-2</v>
      </c>
      <c r="I8" s="124">
        <f t="shared" si="0"/>
        <v>0.64513654717281499</v>
      </c>
      <c r="J8" s="122">
        <v>276388</v>
      </c>
      <c r="K8" s="124">
        <f t="shared" si="1"/>
        <v>1.1543964533262764E-2</v>
      </c>
    </row>
    <row r="9" spans="1:12" ht="13.5" customHeight="1" x14ac:dyDescent="0.2">
      <c r="B9" s="120" t="s">
        <v>43</v>
      </c>
      <c r="C9" s="13"/>
      <c r="D9" s="13"/>
      <c r="E9" s="13"/>
      <c r="F9" s="121"/>
      <c r="G9" s="122">
        <v>12589772</v>
      </c>
      <c r="H9" s="127">
        <f t="shared" si="2"/>
        <v>0.51623695073689957</v>
      </c>
      <c r="I9" s="124">
        <f t="shared" si="0"/>
        <v>-2.9501604203544418E-2</v>
      </c>
      <c r="J9" s="122">
        <v>12972481</v>
      </c>
      <c r="K9" s="124">
        <f t="shared" si="1"/>
        <v>0.5418247556783401</v>
      </c>
    </row>
    <row r="10" spans="1:12" ht="13.5" customHeight="1" x14ac:dyDescent="0.2">
      <c r="B10" s="120" t="s">
        <v>44</v>
      </c>
      <c r="C10" s="13"/>
      <c r="D10" s="13"/>
      <c r="E10" s="13"/>
      <c r="F10" s="121"/>
      <c r="G10" s="122">
        <v>6529738</v>
      </c>
      <c r="H10" s="127">
        <f t="shared" si="2"/>
        <v>0.26774845757578941</v>
      </c>
      <c r="I10" s="124">
        <f t="shared" si="0"/>
        <v>0.14670109132391862</v>
      </c>
      <c r="J10" s="122">
        <v>5694368</v>
      </c>
      <c r="K10" s="124">
        <f t="shared" si="1"/>
        <v>0.23783804735135539</v>
      </c>
    </row>
    <row r="11" spans="1:12" ht="13.5" customHeight="1" x14ac:dyDescent="0.2">
      <c r="B11" s="120" t="s">
        <v>48</v>
      </c>
      <c r="C11" s="13"/>
      <c r="D11" s="13"/>
      <c r="E11" s="13"/>
      <c r="F11" s="121"/>
      <c r="G11" s="122">
        <v>4734961</v>
      </c>
      <c r="H11" s="127">
        <f t="shared" si="2"/>
        <v>0.19415457472130079</v>
      </c>
      <c r="I11" s="124">
        <f t="shared" si="0"/>
        <v>0.14637584877301668</v>
      </c>
      <c r="J11" s="122">
        <v>4130374</v>
      </c>
      <c r="K11" s="124">
        <f t="shared" si="1"/>
        <v>0.17251433117613882</v>
      </c>
    </row>
    <row r="12" spans="1:12" ht="13.5" customHeight="1" x14ac:dyDescent="0.2">
      <c r="B12" s="120" t="s">
        <v>46</v>
      </c>
      <c r="C12" s="13"/>
      <c r="D12" s="13"/>
      <c r="E12" s="13"/>
      <c r="F12" s="121"/>
      <c r="G12" s="122">
        <v>380772</v>
      </c>
      <c r="H12" s="127">
        <f t="shared" si="2"/>
        <v>1.5613354730013436E-2</v>
      </c>
      <c r="I12" s="124">
        <f t="shared" si="0"/>
        <v>0.20135541028294512</v>
      </c>
      <c r="J12" s="122">
        <v>316952</v>
      </c>
      <c r="K12" s="124">
        <f t="shared" si="1"/>
        <v>1.323821094528959E-2</v>
      </c>
    </row>
    <row r="13" spans="1:12" ht="13.5" customHeight="1" x14ac:dyDescent="0.2">
      <c r="B13" s="120" t="s">
        <v>47</v>
      </c>
      <c r="C13" s="13"/>
      <c r="D13" s="13"/>
      <c r="E13" s="13"/>
      <c r="F13" s="121"/>
      <c r="G13" s="122">
        <v>314679</v>
      </c>
      <c r="H13" s="127">
        <f t="shared" si="2"/>
        <v>1.2903246176415015E-2</v>
      </c>
      <c r="I13" s="124">
        <f t="shared" si="0"/>
        <v>0.13005677594509857</v>
      </c>
      <c r="J13" s="122">
        <v>278463</v>
      </c>
      <c r="K13" s="124">
        <f t="shared" si="1"/>
        <v>1.1630631560798403E-2</v>
      </c>
    </row>
    <row r="14" spans="1:12" x14ac:dyDescent="0.2">
      <c r="B14" s="120"/>
      <c r="C14" s="13"/>
      <c r="D14" s="13"/>
      <c r="E14" s="13"/>
      <c r="F14" s="121"/>
      <c r="G14" s="122"/>
      <c r="H14" s="123"/>
      <c r="I14" s="124"/>
      <c r="J14" s="125"/>
      <c r="K14" s="126"/>
    </row>
    <row r="15" spans="1:12" x14ac:dyDescent="0.2">
      <c r="B15" s="128" t="s">
        <v>49</v>
      </c>
      <c r="C15" s="10"/>
      <c r="D15" s="10"/>
      <c r="E15" s="10"/>
      <c r="F15" s="129"/>
      <c r="G15" s="130">
        <f>G7+G8-G9-G10-G11-G12-G13</f>
        <v>292358</v>
      </c>
      <c r="H15" s="131">
        <f>G15/$G$7</f>
        <v>1.198798536173161E-2</v>
      </c>
      <c r="I15" s="132">
        <f>G15/J15-1</f>
        <v>-0.64603769198918104</v>
      </c>
      <c r="J15" s="201">
        <f>J7+J8-J9-J10-J11-J12-J13</f>
        <v>825958</v>
      </c>
      <c r="K15" s="132">
        <f>J15/$J$7</f>
        <v>3.4497987821340455E-2</v>
      </c>
      <c r="L15" s="50"/>
    </row>
    <row r="16" spans="1:12" ht="7.5" customHeight="1" x14ac:dyDescent="0.2">
      <c r="B16" s="133"/>
      <c r="C16" s="13"/>
      <c r="D16" s="13"/>
      <c r="E16" s="13"/>
      <c r="F16" s="121"/>
      <c r="G16" s="122"/>
      <c r="H16" s="123"/>
      <c r="I16" s="124"/>
      <c r="J16" s="125"/>
      <c r="K16" s="126"/>
    </row>
    <row r="17" spans="2:11" x14ac:dyDescent="0.2">
      <c r="B17" s="120"/>
      <c r="C17" s="13"/>
      <c r="D17" s="13"/>
      <c r="E17" s="13"/>
      <c r="F17" s="121"/>
      <c r="G17" s="122"/>
      <c r="H17" s="123"/>
      <c r="I17" s="124"/>
      <c r="J17" s="125"/>
      <c r="K17" s="126"/>
    </row>
    <row r="18" spans="2:11" x14ac:dyDescent="0.2">
      <c r="B18" s="134" t="s">
        <v>50</v>
      </c>
      <c r="C18" s="10"/>
      <c r="D18" s="10"/>
      <c r="E18" s="10"/>
      <c r="F18" s="129"/>
      <c r="G18" s="135">
        <v>13418</v>
      </c>
      <c r="H18" s="35">
        <f>G18/$G$7</f>
        <v>5.5019800239334898E-4</v>
      </c>
      <c r="I18" s="136">
        <f>G18/J18-1</f>
        <v>-1.0442325886514301</v>
      </c>
      <c r="J18" s="135">
        <v>-303351</v>
      </c>
      <c r="K18" s="136">
        <f>J18/$J$7</f>
        <v>-1.2670134684319842E-2</v>
      </c>
    </row>
    <row r="19" spans="2:11" ht="7.5" customHeight="1" x14ac:dyDescent="0.2">
      <c r="B19" s="120"/>
      <c r="C19" s="13"/>
      <c r="D19" s="13"/>
      <c r="E19" s="13"/>
      <c r="F19" s="121"/>
      <c r="G19" s="122"/>
      <c r="H19" s="123"/>
      <c r="I19" s="124"/>
      <c r="J19" s="125"/>
      <c r="K19" s="126"/>
    </row>
    <row r="20" spans="2:11" x14ac:dyDescent="0.2">
      <c r="B20" s="120"/>
      <c r="C20" s="13"/>
      <c r="D20" s="13"/>
      <c r="E20" s="13"/>
      <c r="F20" s="121"/>
      <c r="G20" s="122"/>
      <c r="H20" s="123"/>
      <c r="I20" s="124"/>
      <c r="J20" s="125"/>
      <c r="K20" s="126"/>
    </row>
    <row r="21" spans="2:11" x14ac:dyDescent="0.2">
      <c r="B21" s="128" t="s">
        <v>51</v>
      </c>
      <c r="C21" s="10"/>
      <c r="D21" s="10"/>
      <c r="E21" s="10"/>
      <c r="F21" s="129"/>
      <c r="G21" s="130">
        <f>G15+G18</f>
        <v>305776</v>
      </c>
      <c r="H21" s="131">
        <f>G21/$G$7</f>
        <v>1.2538183364124957E-2</v>
      </c>
      <c r="I21" s="132">
        <f>G21/J21-1</f>
        <v>-0.41490259410991437</v>
      </c>
      <c r="J21" s="201">
        <f>J15+J18</f>
        <v>522607</v>
      </c>
      <c r="K21" s="132">
        <f>J21/$J$7</f>
        <v>2.1827853137020611E-2</v>
      </c>
    </row>
    <row r="22" spans="2:11" ht="7.5" customHeight="1" x14ac:dyDescent="0.2">
      <c r="B22" s="120"/>
      <c r="C22" s="13"/>
      <c r="D22" s="13"/>
      <c r="E22" s="13"/>
      <c r="F22" s="121"/>
      <c r="G22" s="122"/>
      <c r="H22" s="123"/>
      <c r="I22" s="124"/>
      <c r="J22" s="125"/>
      <c r="K22" s="126"/>
    </row>
    <row r="23" spans="2:11" x14ac:dyDescent="0.2">
      <c r="B23" s="120"/>
      <c r="C23" s="13"/>
      <c r="D23" s="13"/>
      <c r="E23" s="13"/>
      <c r="F23" s="121"/>
      <c r="G23" s="122"/>
      <c r="H23" s="123"/>
      <c r="I23" s="124"/>
      <c r="J23" s="125"/>
      <c r="K23" s="126"/>
    </row>
    <row r="24" spans="2:11" x14ac:dyDescent="0.2">
      <c r="B24" s="134" t="s">
        <v>52</v>
      </c>
      <c r="C24" s="10"/>
      <c r="D24" s="10"/>
      <c r="E24" s="10"/>
      <c r="F24" s="129"/>
      <c r="G24" s="135">
        <v>95243</v>
      </c>
      <c r="H24" s="35">
        <f>G24/$G$7</f>
        <v>3.9053889060925427E-3</v>
      </c>
      <c r="I24" s="136">
        <f>G24/J24-1</f>
        <v>-0.49120698312980116</v>
      </c>
      <c r="J24" s="135">
        <v>187194</v>
      </c>
      <c r="K24" s="136">
        <f>J24/$J$7</f>
        <v>7.8185771337380416E-3</v>
      </c>
    </row>
    <row r="25" spans="2:11" ht="7.5" customHeight="1" x14ac:dyDescent="0.2">
      <c r="B25" s="120"/>
      <c r="C25" s="13"/>
      <c r="D25" s="13"/>
      <c r="E25" s="13"/>
      <c r="F25" s="121"/>
      <c r="G25" s="122"/>
      <c r="H25" s="123"/>
      <c r="I25" s="124"/>
      <c r="J25" s="125"/>
      <c r="K25" s="126"/>
    </row>
    <row r="26" spans="2:11" x14ac:dyDescent="0.2">
      <c r="B26" s="120"/>
      <c r="C26" s="13"/>
      <c r="D26" s="13"/>
      <c r="E26" s="13"/>
      <c r="F26" s="121"/>
      <c r="G26" s="122"/>
      <c r="H26" s="123"/>
      <c r="I26" s="124"/>
      <c r="J26" s="125"/>
      <c r="K26" s="126"/>
    </row>
    <row r="27" spans="2:11" x14ac:dyDescent="0.2">
      <c r="B27" s="134" t="s">
        <v>54</v>
      </c>
      <c r="C27" s="10"/>
      <c r="D27" s="10"/>
      <c r="E27" s="10"/>
      <c r="F27" s="129"/>
      <c r="G27" s="135"/>
      <c r="H27" s="12"/>
      <c r="I27" s="136"/>
      <c r="J27" s="202"/>
      <c r="K27" s="137"/>
    </row>
    <row r="28" spans="2:11" ht="7.5" customHeight="1" x14ac:dyDescent="0.2">
      <c r="B28" s="120"/>
      <c r="C28" s="13"/>
      <c r="D28" s="13"/>
      <c r="E28" s="13"/>
      <c r="F28" s="121"/>
      <c r="G28" s="122"/>
      <c r="H28" s="123"/>
      <c r="I28" s="124"/>
      <c r="J28" s="125"/>
      <c r="K28" s="126"/>
    </row>
    <row r="29" spans="2:11" x14ac:dyDescent="0.2">
      <c r="B29" s="120"/>
      <c r="C29" s="13"/>
      <c r="D29" s="13"/>
      <c r="E29" s="13"/>
      <c r="F29" s="121"/>
      <c r="G29" s="122"/>
      <c r="H29" s="123"/>
      <c r="I29" s="124"/>
      <c r="J29" s="125"/>
      <c r="K29" s="126"/>
    </row>
    <row r="30" spans="2:11" x14ac:dyDescent="0.2">
      <c r="B30" s="134" t="s">
        <v>55</v>
      </c>
      <c r="C30" s="10"/>
      <c r="D30" s="10"/>
      <c r="E30" s="10"/>
      <c r="F30" s="129"/>
      <c r="G30" s="135">
        <v>233486</v>
      </c>
      <c r="H30" s="35">
        <f>G30/$G$7</f>
        <v>9.5739700988831042E-3</v>
      </c>
      <c r="I30" s="136">
        <f>G30/J30-1</f>
        <v>-0.22076786500954493</v>
      </c>
      <c r="J30" s="135">
        <v>299636</v>
      </c>
      <c r="K30" s="136">
        <f>J30/$J$7</f>
        <v>1.2514969379599408E-2</v>
      </c>
    </row>
    <row r="31" spans="2:11" ht="7.5" customHeight="1" x14ac:dyDescent="0.2">
      <c r="B31" s="120"/>
      <c r="C31" s="13"/>
      <c r="D31" s="13"/>
      <c r="E31" s="13"/>
      <c r="F31" s="121"/>
      <c r="G31" s="122"/>
      <c r="H31" s="123"/>
      <c r="I31" s="124"/>
      <c r="J31" s="125"/>
      <c r="K31" s="126"/>
    </row>
    <row r="32" spans="2:11" x14ac:dyDescent="0.2">
      <c r="B32" s="120"/>
      <c r="C32" s="13"/>
      <c r="D32" s="13"/>
      <c r="E32" s="13"/>
      <c r="F32" s="121"/>
      <c r="G32" s="122"/>
      <c r="H32" s="123"/>
      <c r="I32" s="124"/>
      <c r="J32" s="125"/>
      <c r="K32" s="126"/>
    </row>
    <row r="33" spans="2:11" x14ac:dyDescent="0.2">
      <c r="B33" s="134" t="s">
        <v>56</v>
      </c>
      <c r="C33" s="10"/>
      <c r="D33" s="10"/>
      <c r="E33" s="10"/>
      <c r="F33" s="129"/>
      <c r="G33" s="135">
        <v>-63651</v>
      </c>
      <c r="H33" s="35">
        <f>G33/$G$7</f>
        <v>-2.6099756335026874E-3</v>
      </c>
      <c r="I33" s="136">
        <f>G33/J33-1</f>
        <v>-0.45301503003428811</v>
      </c>
      <c r="J33" s="135">
        <v>-116367</v>
      </c>
      <c r="K33" s="136">
        <f>J33/$J$7</f>
        <v>-4.8603286714408297E-3</v>
      </c>
    </row>
    <row r="34" spans="2:11" ht="7.5" customHeight="1" x14ac:dyDescent="0.2">
      <c r="B34" s="120"/>
      <c r="C34" s="13"/>
      <c r="D34" s="13"/>
      <c r="E34" s="13"/>
      <c r="F34" s="121"/>
      <c r="G34" s="122"/>
      <c r="H34" s="123"/>
      <c r="I34" s="124"/>
      <c r="J34" s="125"/>
      <c r="K34" s="126"/>
    </row>
    <row r="35" spans="2:11" x14ac:dyDescent="0.2">
      <c r="B35" s="120"/>
      <c r="C35" s="13"/>
      <c r="D35" s="13"/>
      <c r="E35" s="13"/>
      <c r="F35" s="121"/>
      <c r="G35" s="122"/>
      <c r="H35" s="123"/>
      <c r="I35" s="124"/>
      <c r="J35" s="125"/>
      <c r="K35" s="126"/>
    </row>
    <row r="36" spans="2:11" x14ac:dyDescent="0.2">
      <c r="B36" s="128" t="s">
        <v>57</v>
      </c>
      <c r="C36" s="10"/>
      <c r="D36" s="10"/>
      <c r="E36" s="10"/>
      <c r="F36" s="129"/>
      <c r="G36" s="130">
        <f>G21+G24-G27-G30-G33</f>
        <v>231184</v>
      </c>
      <c r="H36" s="131">
        <f>G36/$G$7</f>
        <v>9.4795778048370836E-3</v>
      </c>
      <c r="I36" s="132">
        <f>G36/J36-1</f>
        <v>-0.56093076963983202</v>
      </c>
      <c r="J36" s="201">
        <f>J21+J24-J27-J30-J33</f>
        <v>526532</v>
      </c>
      <c r="K36" s="132">
        <f>J36/$J$7</f>
        <v>2.1991789562600075E-2</v>
      </c>
    </row>
    <row r="37" spans="2:11" ht="7.5" customHeight="1" x14ac:dyDescent="0.2">
      <c r="B37" s="120"/>
      <c r="C37" s="13"/>
      <c r="D37" s="13"/>
      <c r="E37" s="13"/>
      <c r="F37" s="121"/>
      <c r="G37" s="122"/>
      <c r="H37" s="123"/>
      <c r="I37" s="124"/>
      <c r="J37" s="125"/>
      <c r="K37" s="126"/>
    </row>
    <row r="38" spans="2:11" x14ac:dyDescent="0.2">
      <c r="B38" s="120"/>
      <c r="C38" s="13"/>
      <c r="D38" s="13"/>
      <c r="E38" s="13"/>
      <c r="F38" s="121"/>
      <c r="G38" s="122"/>
      <c r="H38" s="123"/>
      <c r="I38" s="124"/>
      <c r="J38" s="125"/>
      <c r="K38" s="126"/>
    </row>
    <row r="39" spans="2:11" x14ac:dyDescent="0.2">
      <c r="B39" s="134" t="s">
        <v>59</v>
      </c>
      <c r="C39" s="10"/>
      <c r="D39" s="10"/>
      <c r="E39" s="10"/>
      <c r="F39" s="129"/>
      <c r="G39" s="135">
        <v>-335176</v>
      </c>
      <c r="H39" s="35">
        <f>G39/$G$7</f>
        <v>-1.3743714834564998E-2</v>
      </c>
      <c r="I39" s="136"/>
      <c r="J39" s="135">
        <v>-322958</v>
      </c>
      <c r="K39" s="136">
        <f>J39/$J$7</f>
        <v>-1.3489065001857807E-2</v>
      </c>
    </row>
    <row r="40" spans="2:11" ht="7.5" customHeight="1" x14ac:dyDescent="0.2">
      <c r="B40" s="120"/>
      <c r="C40" s="13"/>
      <c r="D40" s="13"/>
      <c r="E40" s="13"/>
      <c r="F40" s="121"/>
      <c r="G40" s="122"/>
      <c r="H40" s="123"/>
      <c r="I40" s="124"/>
      <c r="J40" s="125"/>
      <c r="K40" s="126"/>
    </row>
    <row r="41" spans="2:11" x14ac:dyDescent="0.2">
      <c r="B41" s="120"/>
      <c r="C41" s="13"/>
      <c r="D41" s="13"/>
      <c r="E41" s="13"/>
      <c r="F41" s="121"/>
      <c r="G41" s="122"/>
      <c r="H41" s="123"/>
      <c r="I41" s="124"/>
      <c r="J41" s="125"/>
      <c r="K41" s="126"/>
    </row>
    <row r="42" spans="2:11" x14ac:dyDescent="0.2">
      <c r="B42" s="128" t="s">
        <v>60</v>
      </c>
      <c r="C42" s="10"/>
      <c r="D42" s="10"/>
      <c r="E42" s="10"/>
      <c r="F42" s="129"/>
      <c r="G42" s="130">
        <f>G36+G39</f>
        <v>-103992</v>
      </c>
      <c r="H42" s="131">
        <f>G42/$G$7</f>
        <v>-4.264137029727914E-3</v>
      </c>
      <c r="I42" s="132">
        <f>G42/J42-1</f>
        <v>-1.510831442129152</v>
      </c>
      <c r="J42" s="201">
        <f>J36+J39</f>
        <v>203574</v>
      </c>
      <c r="K42" s="132">
        <f>J42/$J$7</f>
        <v>8.5027245607422666E-3</v>
      </c>
    </row>
    <row r="43" spans="2:11" ht="7.5" customHeight="1" x14ac:dyDescent="0.2"/>
  </sheetData>
  <pageMargins left="0.35" right="0.36" top="0.984251969" bottom="0.984251969" header="0.4921259845" footer="0.4921259845"/>
  <pageSetup paperSize="9" scale="8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workbookViewId="0">
      <pane xSplit="5" ySplit="4" topLeftCell="F5" activePane="bottomRight" state="frozen"/>
      <selection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baseColWidth="10" defaultRowHeight="12.75" x14ac:dyDescent="0.2"/>
  <cols>
    <col min="1" max="1" width="4.140625" customWidth="1"/>
    <col min="3" max="3" width="21.5703125" customWidth="1"/>
    <col min="4" max="4" width="26.42578125" customWidth="1"/>
    <col min="5" max="5" width="4.28515625" customWidth="1"/>
    <col min="6" max="6" width="11.7109375" style="50" customWidth="1"/>
    <col min="7" max="7" width="13" customWidth="1"/>
    <col min="8" max="8" width="14.28515625" customWidth="1"/>
  </cols>
  <sheetData>
    <row r="1" spans="1:9" ht="18" customHeight="1" x14ac:dyDescent="0.2">
      <c r="A1" s="5" t="s">
        <v>62</v>
      </c>
      <c r="B1" s="5"/>
      <c r="C1" s="6"/>
      <c r="D1" s="7"/>
      <c r="E1" s="7"/>
      <c r="F1" s="7"/>
      <c r="G1" s="7"/>
    </row>
    <row r="3" spans="1:9" ht="13.5" thickBot="1" x14ac:dyDescent="0.25">
      <c r="B3" s="10"/>
      <c r="C3" s="10"/>
      <c r="D3" s="10"/>
      <c r="E3" s="10"/>
      <c r="F3" s="51"/>
      <c r="G3" s="10"/>
    </row>
    <row r="4" spans="1:9" ht="17.25" customHeight="1" thickBot="1" x14ac:dyDescent="0.25">
      <c r="A4" s="13"/>
      <c r="B4" s="14"/>
      <c r="C4" s="52"/>
      <c r="D4" s="52"/>
      <c r="E4" s="15"/>
      <c r="F4" s="15" t="s">
        <v>37</v>
      </c>
      <c r="G4" s="52" t="s">
        <v>40</v>
      </c>
    </row>
    <row r="5" spans="1:9" ht="13.5" thickBot="1" x14ac:dyDescent="0.25">
      <c r="B5" s="33" t="s">
        <v>63</v>
      </c>
      <c r="G5" s="50"/>
    </row>
    <row r="6" spans="1:9" ht="13.5" customHeight="1" thickBot="1" x14ac:dyDescent="0.25">
      <c r="B6" s="19" t="s">
        <v>64</v>
      </c>
      <c r="C6" s="53"/>
      <c r="D6" s="53"/>
      <c r="E6" s="18"/>
      <c r="F6" s="54">
        <v>-121684</v>
      </c>
      <c r="G6" s="18">
        <v>5014059</v>
      </c>
    </row>
    <row r="7" spans="1:9" ht="13.5" customHeight="1" thickBot="1" x14ac:dyDescent="0.25">
      <c r="B7" s="55" t="s">
        <v>65</v>
      </c>
      <c r="C7" s="53"/>
      <c r="D7" s="53"/>
      <c r="E7" s="18"/>
      <c r="F7" s="54"/>
      <c r="G7" s="18"/>
    </row>
    <row r="8" spans="1:9" ht="13.5" customHeight="1" thickBot="1" x14ac:dyDescent="0.25">
      <c r="B8" s="56"/>
      <c r="C8" s="57" t="s">
        <v>66</v>
      </c>
      <c r="D8" s="53"/>
      <c r="E8" s="18"/>
      <c r="F8" s="54">
        <v>0</v>
      </c>
      <c r="G8" s="18">
        <v>8941</v>
      </c>
    </row>
    <row r="9" spans="1:9" s="58" customFormat="1" ht="13.5" customHeight="1" thickBot="1" x14ac:dyDescent="0.25">
      <c r="B9" s="56"/>
      <c r="C9" s="57" t="s">
        <v>67</v>
      </c>
      <c r="D9" s="53"/>
      <c r="E9" s="18"/>
      <c r="F9" s="54">
        <v>221878</v>
      </c>
      <c r="G9" s="18">
        <v>252015</v>
      </c>
      <c r="H9" s="59"/>
    </row>
    <row r="10" spans="1:9" ht="13.5" customHeight="1" thickBot="1" x14ac:dyDescent="0.25">
      <c r="B10" s="56"/>
      <c r="C10" s="57" t="s">
        <v>68</v>
      </c>
      <c r="D10" s="53"/>
      <c r="E10" s="18"/>
      <c r="F10" s="54">
        <v>-17620</v>
      </c>
      <c r="G10" s="18">
        <v>16323</v>
      </c>
      <c r="H10" s="59"/>
    </row>
    <row r="11" spans="1:9" ht="13.5" customHeight="1" thickBot="1" x14ac:dyDescent="0.25">
      <c r="B11" s="56"/>
      <c r="C11" s="57" t="s">
        <v>69</v>
      </c>
      <c r="D11" s="53"/>
      <c r="E11" s="18"/>
      <c r="F11" s="60">
        <v>15573</v>
      </c>
      <c r="G11" s="61">
        <v>-5018657</v>
      </c>
      <c r="H11" s="59"/>
    </row>
    <row r="12" spans="1:9" ht="3.75" customHeight="1" thickBot="1" x14ac:dyDescent="0.25">
      <c r="G12" s="50"/>
      <c r="H12" s="59"/>
    </row>
    <row r="13" spans="1:9" ht="13.5" thickBot="1" x14ac:dyDescent="0.25">
      <c r="B13" s="62" t="s">
        <v>70</v>
      </c>
      <c r="C13" s="63"/>
      <c r="D13" s="64"/>
      <c r="E13" s="42"/>
      <c r="F13" s="65">
        <f>SUM(F6:F12)</f>
        <v>98147</v>
      </c>
      <c r="G13" s="42">
        <f>SUM(G6:G12)</f>
        <v>272681</v>
      </c>
      <c r="H13" s="59"/>
    </row>
    <row r="14" spans="1:9" s="58" customFormat="1" ht="13.5" thickBot="1" x14ac:dyDescent="0.25">
      <c r="B14" s="56" t="s">
        <v>71</v>
      </c>
      <c r="C14" s="57"/>
      <c r="D14" s="53"/>
      <c r="E14" s="18"/>
      <c r="F14" s="54">
        <v>298546</v>
      </c>
      <c r="G14" s="18">
        <v>-3231250</v>
      </c>
      <c r="H14" s="59"/>
      <c r="I14" s="31"/>
    </row>
    <row r="15" spans="1:9" ht="3.75" customHeight="1" x14ac:dyDescent="0.2">
      <c r="G15" s="50"/>
      <c r="H15" s="59"/>
    </row>
    <row r="16" spans="1:9" ht="14.25" customHeight="1" thickBot="1" x14ac:dyDescent="0.25">
      <c r="B16" s="66" t="s">
        <v>72</v>
      </c>
      <c r="C16" s="66"/>
      <c r="D16" s="67"/>
      <c r="E16" s="67"/>
      <c r="F16" s="68">
        <f>SUM(F13:F15)</f>
        <v>396693</v>
      </c>
      <c r="G16" s="69">
        <f>SUM(G13:G15)</f>
        <v>-2958569</v>
      </c>
      <c r="H16" s="59"/>
    </row>
    <row r="17" spans="2:8" ht="4.5" customHeight="1" x14ac:dyDescent="0.2">
      <c r="G17" s="50"/>
      <c r="H17" s="59"/>
    </row>
    <row r="18" spans="2:8" ht="13.5" thickBot="1" x14ac:dyDescent="0.25">
      <c r="B18" s="33" t="s">
        <v>73</v>
      </c>
      <c r="G18" s="50"/>
      <c r="H18" s="59"/>
    </row>
    <row r="19" spans="2:8" ht="13.5" thickBot="1" x14ac:dyDescent="0.25">
      <c r="B19" s="19" t="s">
        <v>74</v>
      </c>
      <c r="C19" s="53"/>
      <c r="D19" s="53"/>
      <c r="E19" s="18"/>
      <c r="F19" s="54">
        <f>-214466+27764</f>
        <v>-186702</v>
      </c>
      <c r="G19" s="18">
        <v>-313871</v>
      </c>
      <c r="H19" s="59"/>
    </row>
    <row r="20" spans="2:8" ht="13.5" thickBot="1" x14ac:dyDescent="0.25">
      <c r="B20" s="19" t="s">
        <v>75</v>
      </c>
      <c r="C20" s="53"/>
      <c r="D20" s="53"/>
      <c r="E20" s="18"/>
      <c r="F20" s="54">
        <f>27764-27764</f>
        <v>0</v>
      </c>
      <c r="G20" s="18">
        <v>5028</v>
      </c>
    </row>
    <row r="21" spans="2:8" ht="13.5" thickBot="1" x14ac:dyDescent="0.25">
      <c r="B21" s="19" t="s">
        <v>76</v>
      </c>
      <c r="C21" s="53"/>
      <c r="D21" s="53"/>
      <c r="E21" s="18"/>
      <c r="F21" s="54">
        <v>5440</v>
      </c>
      <c r="G21" s="18">
        <v>3622</v>
      </c>
    </row>
    <row r="22" spans="2:8" ht="13.5" thickBot="1" x14ac:dyDescent="0.25">
      <c r="B22" s="19" t="s">
        <v>77</v>
      </c>
      <c r="C22" s="53"/>
      <c r="D22" s="53"/>
      <c r="E22" s="18"/>
      <c r="F22" s="54">
        <v>0</v>
      </c>
      <c r="G22" s="18">
        <v>6921984</v>
      </c>
      <c r="H22" s="70"/>
    </row>
    <row r="23" spans="2:8" ht="3" customHeight="1" x14ac:dyDescent="0.2">
      <c r="G23" s="50"/>
    </row>
    <row r="24" spans="2:8" ht="13.5" thickBot="1" x14ac:dyDescent="0.25">
      <c r="B24" s="66" t="s">
        <v>78</v>
      </c>
      <c r="C24" s="66"/>
      <c r="D24" s="67"/>
      <c r="E24" s="67"/>
      <c r="F24" s="68">
        <f>SUM(F19:F22)</f>
        <v>-181262</v>
      </c>
      <c r="G24" s="69">
        <f>SUM(G19:G22)</f>
        <v>6616763</v>
      </c>
    </row>
    <row r="25" spans="2:8" ht="3" customHeight="1" x14ac:dyDescent="0.2">
      <c r="G25" s="50"/>
    </row>
    <row r="26" spans="2:8" ht="13.5" thickBot="1" x14ac:dyDescent="0.25">
      <c r="B26" s="33" t="s">
        <v>79</v>
      </c>
      <c r="G26" s="50"/>
    </row>
    <row r="27" spans="2:8" ht="13.5" thickBot="1" x14ac:dyDescent="0.25">
      <c r="B27" s="19" t="s">
        <v>80</v>
      </c>
      <c r="C27" s="53"/>
      <c r="D27" s="53"/>
      <c r="E27" s="18"/>
      <c r="F27" s="54">
        <f>-53153-5440+58593</f>
        <v>0</v>
      </c>
      <c r="G27" s="18"/>
      <c r="H27" s="59"/>
    </row>
    <row r="28" spans="2:8" ht="13.5" thickBot="1" x14ac:dyDescent="0.25">
      <c r="B28" s="19" t="s">
        <v>81</v>
      </c>
      <c r="C28" s="53"/>
      <c r="D28" s="53"/>
      <c r="E28" s="18"/>
      <c r="F28" s="54">
        <v>0</v>
      </c>
      <c r="G28" s="18">
        <v>-1407469</v>
      </c>
      <c r="H28" s="70"/>
    </row>
    <row r="29" spans="2:8" ht="13.5" thickBot="1" x14ac:dyDescent="0.25">
      <c r="B29" s="19" t="s">
        <v>82</v>
      </c>
      <c r="C29" s="53"/>
      <c r="D29" s="53"/>
      <c r="E29" s="18"/>
      <c r="F29" s="54">
        <v>0</v>
      </c>
      <c r="G29" s="18">
        <v>2500000</v>
      </c>
    </row>
    <row r="30" spans="2:8" ht="13.5" thickBot="1" x14ac:dyDescent="0.25">
      <c r="B30" s="19" t="s">
        <v>83</v>
      </c>
      <c r="C30" s="53"/>
      <c r="D30" s="53"/>
      <c r="E30" s="18"/>
      <c r="F30" s="54">
        <v>-309014</v>
      </c>
      <c r="G30" s="18">
        <v>-138189</v>
      </c>
    </row>
    <row r="31" spans="2:8" ht="5.25" customHeight="1" x14ac:dyDescent="0.2">
      <c r="G31" s="50"/>
    </row>
    <row r="32" spans="2:8" ht="13.5" thickBot="1" x14ac:dyDescent="0.25">
      <c r="B32" s="66" t="s">
        <v>84</v>
      </c>
      <c r="C32" s="66"/>
      <c r="D32" s="67"/>
      <c r="E32" s="67"/>
      <c r="F32" s="68">
        <f>SUM(F27:F30)</f>
        <v>-309014</v>
      </c>
      <c r="G32" s="69">
        <f>SUM(G27:G30)</f>
        <v>954342</v>
      </c>
    </row>
    <row r="33" spans="2:7" ht="7.5" customHeight="1" thickBot="1" x14ac:dyDescent="0.25">
      <c r="G33" s="50"/>
    </row>
    <row r="34" spans="2:7" ht="13.5" thickBot="1" x14ac:dyDescent="0.25">
      <c r="B34" s="71" t="s">
        <v>85</v>
      </c>
      <c r="C34" s="72"/>
      <c r="D34" s="73"/>
      <c r="E34" s="44"/>
      <c r="F34" s="42">
        <f>-8022-58593</f>
        <v>-66615</v>
      </c>
      <c r="G34" s="74">
        <v>-57911</v>
      </c>
    </row>
    <row r="35" spans="2:7" ht="3" customHeight="1" thickBot="1" x14ac:dyDescent="0.25">
      <c r="B35" s="75"/>
      <c r="C35" s="75"/>
      <c r="G35" s="50"/>
    </row>
    <row r="36" spans="2:7" ht="14.25" customHeight="1" thickBot="1" x14ac:dyDescent="0.25">
      <c r="B36" s="76" t="s">
        <v>86</v>
      </c>
      <c r="C36" s="76"/>
      <c r="D36" s="77"/>
      <c r="E36" s="77"/>
      <c r="F36" s="78">
        <f>F16+F24+F32+F34</f>
        <v>-160198</v>
      </c>
      <c r="G36" s="79">
        <f>G16+G24+G32+G34</f>
        <v>4554625</v>
      </c>
    </row>
    <row r="37" spans="2:7" ht="5.25" customHeight="1" thickBot="1" x14ac:dyDescent="0.25">
      <c r="G37" s="50"/>
    </row>
    <row r="38" spans="2:7" ht="13.5" thickBot="1" x14ac:dyDescent="0.25">
      <c r="B38" s="71" t="s">
        <v>87</v>
      </c>
      <c r="C38" s="72"/>
      <c r="D38" s="73"/>
      <c r="E38" s="44"/>
      <c r="F38" s="42">
        <v>1878961</v>
      </c>
      <c r="G38" s="74">
        <v>-2081632</v>
      </c>
    </row>
    <row r="39" spans="2:7" ht="2.25" customHeight="1" thickBot="1" x14ac:dyDescent="0.25">
      <c r="B39" s="80"/>
      <c r="G39" s="50"/>
    </row>
    <row r="40" spans="2:7" ht="13.5" thickBot="1" x14ac:dyDescent="0.25">
      <c r="B40" s="71" t="s">
        <v>88</v>
      </c>
      <c r="C40" s="72"/>
      <c r="D40" s="73"/>
      <c r="E40" s="44"/>
      <c r="F40" s="42">
        <v>1718763</v>
      </c>
      <c r="G40" s="74">
        <v>2472993</v>
      </c>
    </row>
    <row r="41" spans="2:7" ht="0.75" customHeight="1" x14ac:dyDescent="0.2">
      <c r="B41" s="10"/>
      <c r="C41" s="10"/>
      <c r="D41" s="10"/>
      <c r="E41" s="10"/>
      <c r="F41" s="51"/>
      <c r="G41" s="51"/>
    </row>
    <row r="42" spans="2:7" ht="14.25" customHeight="1" thickBot="1" x14ac:dyDescent="0.25">
      <c r="B42" s="76" t="s">
        <v>89</v>
      </c>
      <c r="C42" s="76"/>
      <c r="D42" s="77"/>
      <c r="E42" s="77"/>
      <c r="F42" s="78">
        <f>F40-F39-F38</f>
        <v>-160198</v>
      </c>
      <c r="G42" s="79">
        <f>G40-G39-G38</f>
        <v>4554625</v>
      </c>
    </row>
    <row r="44" spans="2:7" x14ac:dyDescent="0.2">
      <c r="B44" s="81"/>
      <c r="C44" s="81"/>
      <c r="D44" s="81"/>
      <c r="E44" s="81"/>
      <c r="F44" s="9"/>
      <c r="G44" s="81"/>
    </row>
    <row r="45" spans="2:7" x14ac:dyDescent="0.2">
      <c r="B45" s="81"/>
      <c r="C45" s="81"/>
      <c r="D45" s="81"/>
      <c r="E45" s="81"/>
      <c r="F45" s="9"/>
      <c r="G45" s="81"/>
    </row>
    <row r="46" spans="2:7" x14ac:dyDescent="0.2">
      <c r="B46" s="81"/>
      <c r="C46" s="81"/>
      <c r="D46" s="81"/>
      <c r="E46" s="81"/>
      <c r="F46" s="9"/>
      <c r="G46" s="81"/>
    </row>
    <row r="47" spans="2:7" x14ac:dyDescent="0.2">
      <c r="B47" s="81"/>
      <c r="C47" s="81"/>
      <c r="D47" s="81"/>
      <c r="E47" s="81"/>
      <c r="F47" s="9"/>
      <c r="G47" s="81"/>
    </row>
  </sheetData>
  <pageMargins left="0.34" right="0.36" top="0.984251969" bottom="0.984251969" header="0.4921259845" footer="0.4921259845"/>
  <pageSetup paperSize="9" scale="9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workbookViewId="0">
      <pane xSplit="5" ySplit="5" topLeftCell="F39" activePane="bottomRight" state="frozen"/>
      <selection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baseColWidth="10" defaultRowHeight="12.75" x14ac:dyDescent="0.2"/>
  <cols>
    <col min="1" max="1" width="4.140625" customWidth="1"/>
    <col min="3" max="3" width="21.5703125" customWidth="1"/>
    <col min="4" max="4" width="23.85546875" customWidth="1"/>
    <col min="5" max="5" width="4.28515625" customWidth="1"/>
    <col min="6" max="6" width="11.7109375" style="50" customWidth="1"/>
    <col min="7" max="7" width="6.85546875" customWidth="1"/>
    <col min="8" max="8" width="11.7109375" style="50" customWidth="1"/>
    <col min="9" max="9" width="4.28515625" customWidth="1"/>
  </cols>
  <sheetData>
    <row r="1" spans="1:9" ht="18" customHeight="1" x14ac:dyDescent="0.2">
      <c r="A1" s="103" t="s">
        <v>62</v>
      </c>
      <c r="B1" s="103"/>
      <c r="C1" s="10"/>
      <c r="D1" s="10"/>
      <c r="E1" s="10"/>
      <c r="F1" s="51"/>
      <c r="G1" s="10"/>
      <c r="H1" s="51"/>
      <c r="I1" s="10"/>
    </row>
    <row r="3" spans="1:9" x14ac:dyDescent="0.2">
      <c r="B3" s="10"/>
      <c r="C3" s="10"/>
      <c r="D3" s="10"/>
      <c r="E3" s="10"/>
      <c r="F3" s="51"/>
      <c r="G3" s="10"/>
      <c r="H3" s="51"/>
      <c r="I3" s="10"/>
    </row>
    <row r="4" spans="1:9" ht="26.25" customHeight="1" x14ac:dyDescent="0.2">
      <c r="A4" s="13"/>
      <c r="B4" s="104"/>
      <c r="C4" s="105"/>
      <c r="D4" s="105"/>
      <c r="E4" s="105"/>
      <c r="F4" s="142" t="s">
        <v>126</v>
      </c>
      <c r="G4" s="105"/>
      <c r="H4" s="142" t="s">
        <v>127</v>
      </c>
      <c r="I4" s="105"/>
    </row>
    <row r="5" spans="1:9" ht="7.5" customHeight="1" x14ac:dyDescent="0.2"/>
    <row r="6" spans="1:9" ht="9" customHeight="1" x14ac:dyDescent="0.2"/>
    <row r="7" spans="1:9" x14ac:dyDescent="0.2">
      <c r="B7" s="33" t="s">
        <v>63</v>
      </c>
    </row>
    <row r="9" spans="1:9" ht="13.5" customHeight="1" x14ac:dyDescent="0.2">
      <c r="B9" t="s">
        <v>64</v>
      </c>
      <c r="F9" s="50">
        <v>377663</v>
      </c>
      <c r="H9" s="50">
        <v>681695</v>
      </c>
    </row>
    <row r="10" spans="1:9" ht="13.5" customHeight="1" x14ac:dyDescent="0.2">
      <c r="B10" t="s">
        <v>129</v>
      </c>
    </row>
    <row r="11" spans="1:9" ht="13.5" customHeight="1" x14ac:dyDescent="0.2">
      <c r="B11" t="s">
        <v>130</v>
      </c>
    </row>
    <row r="12" spans="1:9" ht="13.5" customHeight="1" x14ac:dyDescent="0.2">
      <c r="C12" s="143" t="s">
        <v>131</v>
      </c>
      <c r="F12" s="50">
        <v>116876</v>
      </c>
      <c r="H12" s="50">
        <v>334812</v>
      </c>
    </row>
    <row r="13" spans="1:9" ht="13.5" customHeight="1" x14ac:dyDescent="0.2">
      <c r="C13" s="143" t="s">
        <v>132</v>
      </c>
      <c r="F13" s="50">
        <v>44914</v>
      </c>
      <c r="H13" s="50">
        <v>2331</v>
      </c>
    </row>
    <row r="14" spans="1:9" ht="13.5" customHeight="1" x14ac:dyDescent="0.2">
      <c r="C14" s="143" t="s">
        <v>68</v>
      </c>
      <c r="F14" s="50">
        <v>-147221</v>
      </c>
      <c r="H14" s="50">
        <v>10642</v>
      </c>
    </row>
    <row r="15" spans="1:9" ht="13.5" customHeight="1" x14ac:dyDescent="0.2">
      <c r="C15" s="143" t="s">
        <v>69</v>
      </c>
      <c r="F15" s="50">
        <v>104000</v>
      </c>
      <c r="H15" s="50">
        <v>4676</v>
      </c>
    </row>
    <row r="16" spans="1:9" ht="13.5" customHeight="1" x14ac:dyDescent="0.2">
      <c r="C16" s="143" t="s">
        <v>133</v>
      </c>
    </row>
    <row r="17" spans="2:9" ht="13.5" customHeight="1" x14ac:dyDescent="0.2">
      <c r="C17" s="143" t="s">
        <v>134</v>
      </c>
      <c r="F17" s="50">
        <v>-30362</v>
      </c>
      <c r="H17" s="50">
        <v>-12897</v>
      </c>
    </row>
    <row r="18" spans="2:9" ht="13.5" customHeight="1" x14ac:dyDescent="0.2">
      <c r="C18" s="143" t="s">
        <v>135</v>
      </c>
    </row>
    <row r="19" spans="2:9" ht="13.5" customHeight="1" x14ac:dyDescent="0.2">
      <c r="C19" s="143" t="s">
        <v>136</v>
      </c>
      <c r="F19" s="50">
        <v>-126589</v>
      </c>
      <c r="H19" s="50">
        <v>218563</v>
      </c>
    </row>
    <row r="20" spans="2:9" ht="13.5" customHeight="1" x14ac:dyDescent="0.2">
      <c r="C20" s="144" t="s">
        <v>137</v>
      </c>
      <c r="F20" s="50">
        <v>69429</v>
      </c>
    </row>
    <row r="21" spans="2:9" ht="7.5" customHeight="1" x14ac:dyDescent="0.2">
      <c r="F21" s="51"/>
      <c r="H21" s="51"/>
    </row>
    <row r="22" spans="2:9" ht="7.5" customHeight="1" x14ac:dyDescent="0.2"/>
    <row r="23" spans="2:9" x14ac:dyDescent="0.2">
      <c r="B23" t="s">
        <v>70</v>
      </c>
      <c r="F23" s="50">
        <f>SUM(F8:F22)</f>
        <v>408710</v>
      </c>
      <c r="H23" s="50">
        <f>SUM(H8:H22)</f>
        <v>1239822</v>
      </c>
    </row>
    <row r="24" spans="2:9" x14ac:dyDescent="0.2">
      <c r="B24" t="s">
        <v>138</v>
      </c>
      <c r="F24" s="50">
        <v>-1657741</v>
      </c>
      <c r="H24" s="50">
        <v>-2081596</v>
      </c>
    </row>
    <row r="25" spans="2:9" ht="7.5" customHeight="1" x14ac:dyDescent="0.2"/>
    <row r="26" spans="2:9" ht="14.25" customHeight="1" x14ac:dyDescent="0.2">
      <c r="B26" s="145" t="s">
        <v>72</v>
      </c>
      <c r="C26" s="145"/>
      <c r="D26" s="145"/>
      <c r="E26" s="145"/>
      <c r="F26" s="146">
        <f>SUM(F23:F25)</f>
        <v>-1249031</v>
      </c>
      <c r="G26" s="145"/>
      <c r="H26" s="146">
        <f>SUM(H23:H25)</f>
        <v>-841774</v>
      </c>
      <c r="I26" s="145"/>
    </row>
    <row r="27" spans="2:9" ht="7.5" customHeight="1" x14ac:dyDescent="0.2"/>
    <row r="28" spans="2:9" ht="7.5" customHeight="1" x14ac:dyDescent="0.2"/>
    <row r="29" spans="2:9" x14ac:dyDescent="0.2">
      <c r="B29" s="33" t="s">
        <v>73</v>
      </c>
    </row>
    <row r="31" spans="2:9" x14ac:dyDescent="0.2">
      <c r="B31" t="s">
        <v>74</v>
      </c>
      <c r="F31" s="50">
        <v>-228295</v>
      </c>
      <c r="H31" s="50">
        <v>-326233</v>
      </c>
    </row>
    <row r="32" spans="2:9" x14ac:dyDescent="0.2">
      <c r="B32" t="s">
        <v>75</v>
      </c>
      <c r="F32" s="50">
        <v>38285</v>
      </c>
      <c r="H32" s="50">
        <v>21362</v>
      </c>
    </row>
    <row r="33" spans="2:9" x14ac:dyDescent="0.2">
      <c r="B33" t="s">
        <v>139</v>
      </c>
      <c r="F33" s="50">
        <v>-418189</v>
      </c>
      <c r="H33" s="50">
        <v>-42045</v>
      </c>
    </row>
    <row r="34" spans="2:9" x14ac:dyDescent="0.2">
      <c r="B34" t="s">
        <v>140</v>
      </c>
      <c r="F34" s="50">
        <v>338054</v>
      </c>
      <c r="H34" s="50">
        <v>26184</v>
      </c>
    </row>
    <row r="35" spans="2:9" x14ac:dyDescent="0.2">
      <c r="B35" t="s">
        <v>77</v>
      </c>
      <c r="F35" s="50">
        <v>-255941</v>
      </c>
    </row>
    <row r="36" spans="2:9" ht="7.5" customHeight="1" x14ac:dyDescent="0.2"/>
    <row r="37" spans="2:9" x14ac:dyDescent="0.2">
      <c r="B37" s="145" t="s">
        <v>78</v>
      </c>
      <c r="C37" s="145"/>
      <c r="D37" s="145"/>
      <c r="E37" s="145"/>
      <c r="F37" s="146">
        <f>SUM(F31:F35)</f>
        <v>-526086</v>
      </c>
      <c r="G37" s="145"/>
      <c r="H37" s="146">
        <f>SUM(H31:H35)</f>
        <v>-320732</v>
      </c>
      <c r="I37" s="145"/>
    </row>
    <row r="38" spans="2:9" ht="7.5" customHeight="1" x14ac:dyDescent="0.2"/>
    <row r="39" spans="2:9" ht="7.5" customHeight="1" x14ac:dyDescent="0.2"/>
    <row r="40" spans="2:9" x14ac:dyDescent="0.2">
      <c r="B40" s="33" t="s">
        <v>79</v>
      </c>
    </row>
    <row r="41" spans="2:9" x14ac:dyDescent="0.2">
      <c r="B41" s="33"/>
    </row>
    <row r="42" spans="2:9" x14ac:dyDescent="0.2">
      <c r="B42" t="s">
        <v>141</v>
      </c>
    </row>
    <row r="43" spans="2:9" x14ac:dyDescent="0.2">
      <c r="B43" t="s">
        <v>81</v>
      </c>
      <c r="F43" s="50">
        <v>-1442297</v>
      </c>
      <c r="H43" s="50">
        <v>-1444969</v>
      </c>
    </row>
    <row r="44" spans="2:9" x14ac:dyDescent="0.2">
      <c r="B44" t="s">
        <v>82</v>
      </c>
    </row>
    <row r="45" spans="2:9" x14ac:dyDescent="0.2">
      <c r="B45" t="s">
        <v>83</v>
      </c>
      <c r="F45" s="50">
        <v>-40277</v>
      </c>
      <c r="H45" s="50">
        <v>-39578</v>
      </c>
    </row>
    <row r="47" spans="2:9" x14ac:dyDescent="0.2">
      <c r="B47" s="145" t="s">
        <v>84</v>
      </c>
      <c r="C47" s="145"/>
      <c r="D47" s="145"/>
      <c r="E47" s="145"/>
      <c r="F47" s="146">
        <f>SUM(F42:F45)</f>
        <v>-1482574</v>
      </c>
      <c r="G47" s="145"/>
      <c r="H47" s="146">
        <f>SUM(H42:H45)</f>
        <v>-1484547</v>
      </c>
      <c r="I47" s="145"/>
    </row>
    <row r="48" spans="2:9" ht="7.5" customHeight="1" x14ac:dyDescent="0.2"/>
    <row r="49" spans="1:12" ht="7.5" customHeight="1" x14ac:dyDescent="0.2"/>
    <row r="50" spans="1:12" x14ac:dyDescent="0.2">
      <c r="B50" s="33" t="s">
        <v>85</v>
      </c>
      <c r="F50" s="50">
        <v>-165204</v>
      </c>
      <c r="H50" s="50">
        <v>88220</v>
      </c>
    </row>
    <row r="51" spans="1:12" ht="7.5" customHeight="1" x14ac:dyDescent="0.2"/>
    <row r="53" spans="1:12" ht="14.25" customHeight="1" x14ac:dyDescent="0.2">
      <c r="B53" s="147" t="s">
        <v>86</v>
      </c>
      <c r="C53" s="148"/>
      <c r="D53" s="148"/>
      <c r="E53" s="148"/>
      <c r="F53" s="149">
        <f>F26+F37+F47+F50</f>
        <v>-3422895</v>
      </c>
      <c r="G53" s="148"/>
      <c r="H53" s="149">
        <f>H26+H37+H47+H50</f>
        <v>-2558833</v>
      </c>
      <c r="I53" s="148"/>
    </row>
    <row r="55" spans="1:12" x14ac:dyDescent="0.2">
      <c r="B55" t="s">
        <v>87</v>
      </c>
      <c r="F55" s="50">
        <v>421039</v>
      </c>
      <c r="H55" s="50">
        <v>1643001</v>
      </c>
    </row>
    <row r="56" spans="1:12" x14ac:dyDescent="0.2">
      <c r="B56" s="80" t="s">
        <v>142</v>
      </c>
    </row>
    <row r="58" spans="1:12" x14ac:dyDescent="0.2">
      <c r="B58" t="s">
        <v>88</v>
      </c>
      <c r="F58" s="50">
        <v>-3001856</v>
      </c>
      <c r="H58" s="50">
        <v>-915832</v>
      </c>
    </row>
    <row r="60" spans="1:12" ht="14.25" customHeight="1" x14ac:dyDescent="0.2">
      <c r="B60" s="147" t="s">
        <v>89</v>
      </c>
      <c r="C60" s="148"/>
      <c r="D60" s="148"/>
      <c r="E60" s="148"/>
      <c r="F60" s="149">
        <f>F58-F56-F55</f>
        <v>-3422895</v>
      </c>
      <c r="G60" s="148"/>
      <c r="H60" s="149">
        <f>H58-H56-H55</f>
        <v>-2558833</v>
      </c>
      <c r="I60" s="148"/>
    </row>
    <row r="62" spans="1:12" s="8" customFormat="1" x14ac:dyDescent="0.2">
      <c r="A62"/>
      <c r="B62" s="81"/>
      <c r="C62" s="81"/>
      <c r="D62" s="81"/>
      <c r="E62" s="81"/>
      <c r="F62" s="9"/>
      <c r="G62" s="81"/>
      <c r="H62" s="9"/>
      <c r="I62" s="81"/>
      <c r="J62"/>
      <c r="K62"/>
      <c r="L62"/>
    </row>
    <row r="63" spans="1:12" s="8" customFormat="1" x14ac:dyDescent="0.2">
      <c r="A63"/>
      <c r="B63" s="81"/>
      <c r="C63" s="81"/>
      <c r="D63" s="152"/>
      <c r="E63" s="123"/>
      <c r="F63" s="9"/>
      <c r="G63" s="123"/>
      <c r="H63" s="9"/>
      <c r="I63" s="123"/>
      <c r="J63"/>
      <c r="K63"/>
      <c r="L63"/>
    </row>
    <row r="64" spans="1:12" s="8" customFormat="1" x14ac:dyDescent="0.2">
      <c r="A64"/>
      <c r="B64" s="81"/>
      <c r="C64" s="81"/>
      <c r="D64" s="81"/>
      <c r="E64" s="81"/>
      <c r="F64" s="9"/>
      <c r="G64" s="81"/>
      <c r="H64" s="9"/>
      <c r="I64" s="81"/>
      <c r="J64"/>
      <c r="K64"/>
      <c r="L64"/>
    </row>
    <row r="65" spans="1:12" s="8" customFormat="1" x14ac:dyDescent="0.2">
      <c r="A65"/>
      <c r="B65" s="81"/>
      <c r="C65" s="81"/>
      <c r="D65" s="81"/>
      <c r="E65" s="81"/>
      <c r="F65" s="9"/>
      <c r="G65" s="81"/>
      <c r="H65" s="9"/>
      <c r="I65" s="81"/>
      <c r="J65"/>
      <c r="K65"/>
      <c r="L65"/>
    </row>
    <row r="66" spans="1:12" s="8" customFormat="1" x14ac:dyDescent="0.2">
      <c r="A66"/>
      <c r="B66" s="81"/>
      <c r="C66" s="81"/>
      <c r="D66" s="81"/>
      <c r="E66" s="81"/>
      <c r="F66" s="9"/>
      <c r="G66" s="81"/>
      <c r="H66" s="9"/>
      <c r="I66" s="81"/>
      <c r="J66"/>
      <c r="K66"/>
      <c r="L66"/>
    </row>
    <row r="67" spans="1:12" s="8" customFormat="1" x14ac:dyDescent="0.2">
      <c r="A67"/>
      <c r="B67" s="81"/>
      <c r="C67" s="81"/>
      <c r="D67" s="81"/>
      <c r="E67" s="81"/>
      <c r="F67" s="9"/>
      <c r="G67" s="81"/>
      <c r="H67" s="9"/>
      <c r="I67" s="81"/>
      <c r="J67"/>
      <c r="K67"/>
      <c r="L67"/>
    </row>
  </sheetData>
  <pageMargins left="0.34" right="0.36" top="0.984251969" bottom="0.984251969" header="0.4921259845" footer="0.4921259845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zoomScale="85" workbookViewId="0">
      <selection activeCell="G1" sqref="G1:H65536"/>
    </sheetView>
  </sheetViews>
  <sheetFormatPr baseColWidth="10" defaultRowHeight="12.75" x14ac:dyDescent="0.2"/>
  <cols>
    <col min="1" max="1" width="4.140625" customWidth="1"/>
    <col min="3" max="3" width="21.5703125" customWidth="1"/>
    <col min="4" max="4" width="23.85546875" customWidth="1"/>
    <col min="5" max="5" width="4.28515625" customWidth="1"/>
    <col min="6" max="6" width="11.7109375" style="50" customWidth="1"/>
    <col min="7" max="7" width="4.28515625" customWidth="1"/>
    <col min="8" max="8" width="11.7109375" style="50" customWidth="1"/>
  </cols>
  <sheetData>
    <row r="1" spans="1:8" ht="18" customHeight="1" x14ac:dyDescent="0.2">
      <c r="A1" s="103" t="s">
        <v>62</v>
      </c>
      <c r="B1" s="103"/>
      <c r="C1" s="10"/>
      <c r="D1" s="10"/>
      <c r="E1" s="10"/>
      <c r="F1" s="51"/>
      <c r="G1" s="10"/>
      <c r="H1" s="51"/>
    </row>
    <row r="3" spans="1:8" x14ac:dyDescent="0.2">
      <c r="B3" s="10"/>
      <c r="C3" s="10"/>
      <c r="D3" s="10"/>
      <c r="E3" s="10"/>
      <c r="F3" s="51"/>
      <c r="G3" s="10"/>
      <c r="H3" s="51"/>
    </row>
    <row r="4" spans="1:8" ht="26.25" customHeight="1" x14ac:dyDescent="0.2">
      <c r="A4" s="13"/>
      <c r="B4" s="104"/>
      <c r="C4" s="105"/>
      <c r="D4" s="105"/>
      <c r="E4" s="105"/>
      <c r="F4" s="142" t="s">
        <v>150</v>
      </c>
      <c r="G4" s="105"/>
      <c r="H4" s="142" t="s">
        <v>151</v>
      </c>
    </row>
    <row r="5" spans="1:8" ht="7.5" customHeight="1" x14ac:dyDescent="0.2"/>
    <row r="6" spans="1:8" ht="9" customHeight="1" x14ac:dyDescent="0.2"/>
    <row r="7" spans="1:8" x14ac:dyDescent="0.2">
      <c r="B7" s="33" t="s">
        <v>63</v>
      </c>
    </row>
    <row r="9" spans="1:8" ht="13.5" customHeight="1" x14ac:dyDescent="0.2">
      <c r="B9" t="s">
        <v>64</v>
      </c>
      <c r="F9" s="50">
        <v>-188556</v>
      </c>
      <c r="H9" s="50">
        <v>421057</v>
      </c>
    </row>
    <row r="10" spans="1:8" ht="13.5" customHeight="1" x14ac:dyDescent="0.2">
      <c r="B10" t="s">
        <v>129</v>
      </c>
    </row>
    <row r="11" spans="1:8" ht="13.5" customHeight="1" x14ac:dyDescent="0.2">
      <c r="B11" t="s">
        <v>130</v>
      </c>
    </row>
    <row r="12" spans="1:8" ht="13.5" customHeight="1" x14ac:dyDescent="0.2">
      <c r="C12" s="143" t="s">
        <v>131</v>
      </c>
      <c r="F12" s="50">
        <v>1523186</v>
      </c>
      <c r="H12" s="50">
        <v>540869</v>
      </c>
    </row>
    <row r="13" spans="1:8" ht="13.5" customHeight="1" x14ac:dyDescent="0.2">
      <c r="C13" s="143" t="s">
        <v>132</v>
      </c>
      <c r="F13" s="50">
        <v>-219743</v>
      </c>
      <c r="H13" s="50">
        <v>20627</v>
      </c>
    </row>
    <row r="14" spans="1:8" ht="13.5" customHeight="1" x14ac:dyDescent="0.2">
      <c r="C14" s="143" t="s">
        <v>68</v>
      </c>
      <c r="F14" s="50">
        <v>180183</v>
      </c>
      <c r="H14" s="50">
        <v>69504</v>
      </c>
    </row>
    <row r="15" spans="1:8" ht="13.5" customHeight="1" x14ac:dyDescent="0.2">
      <c r="C15" s="143" t="s">
        <v>69</v>
      </c>
      <c r="F15" s="50">
        <v>3435</v>
      </c>
    </row>
    <row r="16" spans="1:8" ht="13.5" customHeight="1" x14ac:dyDescent="0.2">
      <c r="C16" s="143" t="s">
        <v>133</v>
      </c>
    </row>
    <row r="17" spans="2:8" ht="13.5" customHeight="1" x14ac:dyDescent="0.2">
      <c r="C17" s="143" t="s">
        <v>134</v>
      </c>
      <c r="F17" s="50">
        <v>-8960</v>
      </c>
      <c r="H17" s="50">
        <v>-23744</v>
      </c>
    </row>
    <row r="18" spans="2:8" ht="13.5" customHeight="1" x14ac:dyDescent="0.2">
      <c r="C18" s="143" t="s">
        <v>135</v>
      </c>
    </row>
    <row r="19" spans="2:8" ht="13.5" customHeight="1" x14ac:dyDescent="0.2">
      <c r="C19" s="143" t="s">
        <v>136</v>
      </c>
      <c r="F19" s="50">
        <v>30884</v>
      </c>
      <c r="H19" s="50">
        <v>-19744</v>
      </c>
    </row>
    <row r="20" spans="2:8" ht="7.5" customHeight="1" x14ac:dyDescent="0.2">
      <c r="F20" s="51"/>
      <c r="H20" s="51"/>
    </row>
    <row r="21" spans="2:8" ht="7.5" customHeight="1" x14ac:dyDescent="0.2"/>
    <row r="22" spans="2:8" x14ac:dyDescent="0.2">
      <c r="B22" t="s">
        <v>70</v>
      </c>
      <c r="F22" s="50">
        <f>SUM(F8:F21)</f>
        <v>1320429</v>
      </c>
      <c r="H22" s="50">
        <f>SUM(H8:H21)</f>
        <v>1008569</v>
      </c>
    </row>
    <row r="23" spans="2:8" x14ac:dyDescent="0.2">
      <c r="B23" t="s">
        <v>138</v>
      </c>
      <c r="F23" s="50">
        <v>-1226232</v>
      </c>
      <c r="H23" s="50">
        <v>-1479586</v>
      </c>
    </row>
    <row r="24" spans="2:8" ht="7.5" customHeight="1" x14ac:dyDescent="0.2"/>
    <row r="25" spans="2:8" ht="14.25" customHeight="1" x14ac:dyDescent="0.2">
      <c r="B25" s="145" t="s">
        <v>72</v>
      </c>
      <c r="C25" s="145"/>
      <c r="D25" s="145"/>
      <c r="E25" s="145"/>
      <c r="F25" s="146">
        <f>SUM(F22:F24)</f>
        <v>94197</v>
      </c>
      <c r="G25" s="145"/>
      <c r="H25" s="146">
        <f>SUM(H22:H24)</f>
        <v>-471017</v>
      </c>
    </row>
    <row r="26" spans="2:8" ht="7.5" customHeight="1" x14ac:dyDescent="0.2"/>
    <row r="27" spans="2:8" ht="7.5" customHeight="1" x14ac:dyDescent="0.2"/>
    <row r="28" spans="2:8" x14ac:dyDescent="0.2">
      <c r="B28" s="33" t="s">
        <v>73</v>
      </c>
    </row>
    <row r="30" spans="2:8" x14ac:dyDescent="0.2">
      <c r="B30" t="s">
        <v>74</v>
      </c>
      <c r="F30" s="50">
        <v>-151736</v>
      </c>
      <c r="H30" s="50">
        <v>-583666</v>
      </c>
    </row>
    <row r="31" spans="2:8" x14ac:dyDescent="0.2">
      <c r="B31" t="s">
        <v>75</v>
      </c>
      <c r="F31" s="50">
        <v>6071</v>
      </c>
      <c r="H31" s="50">
        <v>183152</v>
      </c>
    </row>
    <row r="32" spans="2:8" x14ac:dyDescent="0.2">
      <c r="B32" t="s">
        <v>139</v>
      </c>
      <c r="F32" s="50">
        <v>-242358</v>
      </c>
    </row>
    <row r="33" spans="2:8" x14ac:dyDescent="0.2">
      <c r="B33" t="s">
        <v>140</v>
      </c>
      <c r="F33" s="50">
        <v>210735</v>
      </c>
    </row>
    <row r="34" spans="2:8" x14ac:dyDescent="0.2">
      <c r="B34" t="s">
        <v>77</v>
      </c>
    </row>
    <row r="35" spans="2:8" ht="7.5" customHeight="1" x14ac:dyDescent="0.2"/>
    <row r="36" spans="2:8" x14ac:dyDescent="0.2">
      <c r="B36" s="145" t="s">
        <v>78</v>
      </c>
      <c r="C36" s="145"/>
      <c r="D36" s="145"/>
      <c r="E36" s="145"/>
      <c r="F36" s="146">
        <f>SUM(F30:F34)</f>
        <v>-177288</v>
      </c>
      <c r="G36" s="145"/>
      <c r="H36" s="146">
        <f>SUM(H30:H34)</f>
        <v>-400514</v>
      </c>
    </row>
    <row r="37" spans="2:8" ht="7.5" customHeight="1" x14ac:dyDescent="0.2"/>
    <row r="38" spans="2:8" ht="7.5" customHeight="1" x14ac:dyDescent="0.2"/>
    <row r="39" spans="2:8" x14ac:dyDescent="0.2">
      <c r="B39" s="33" t="s">
        <v>79</v>
      </c>
    </row>
    <row r="40" spans="2:8" x14ac:dyDescent="0.2">
      <c r="B40" s="33"/>
    </row>
    <row r="41" spans="2:8" x14ac:dyDescent="0.2">
      <c r="B41" t="s">
        <v>141</v>
      </c>
    </row>
    <row r="42" spans="2:8" x14ac:dyDescent="0.2">
      <c r="B42" t="s">
        <v>81</v>
      </c>
      <c r="F42" s="50">
        <v>-1442747</v>
      </c>
      <c r="H42" s="50">
        <v>-1542168</v>
      </c>
    </row>
    <row r="43" spans="2:8" x14ac:dyDescent="0.2">
      <c r="B43" t="s">
        <v>82</v>
      </c>
    </row>
    <row r="44" spans="2:8" x14ac:dyDescent="0.2">
      <c r="B44" t="s">
        <v>83</v>
      </c>
      <c r="F44" s="50">
        <v>-21620</v>
      </c>
      <c r="H44" s="50">
        <v>-494246</v>
      </c>
    </row>
    <row r="46" spans="2:8" x14ac:dyDescent="0.2">
      <c r="B46" s="145" t="s">
        <v>84</v>
      </c>
      <c r="C46" s="145"/>
      <c r="D46" s="145"/>
      <c r="E46" s="145"/>
      <c r="F46" s="146">
        <f>SUM(F41:F44)</f>
        <v>-1464367</v>
      </c>
      <c r="G46" s="145"/>
      <c r="H46" s="146">
        <f>SUM(H41:H44)</f>
        <v>-2036414</v>
      </c>
    </row>
    <row r="47" spans="2:8" ht="7.5" customHeight="1" x14ac:dyDescent="0.2"/>
    <row r="48" spans="2:8" ht="7.5" customHeight="1" x14ac:dyDescent="0.2"/>
    <row r="49" spans="2:9" x14ac:dyDescent="0.2">
      <c r="B49" s="33" t="s">
        <v>85</v>
      </c>
      <c r="F49" s="50">
        <v>9464</v>
      </c>
      <c r="H49" s="50">
        <v>-19405</v>
      </c>
    </row>
    <row r="50" spans="2:9" ht="7.5" customHeight="1" x14ac:dyDescent="0.2"/>
    <row r="52" spans="2:9" ht="14.25" customHeight="1" x14ac:dyDescent="0.2">
      <c r="B52" s="147" t="s">
        <v>86</v>
      </c>
      <c r="C52" s="148"/>
      <c r="D52" s="148"/>
      <c r="E52" s="148"/>
      <c r="F52" s="149">
        <f>F25+F36+F46+F49</f>
        <v>-1537994</v>
      </c>
      <c r="G52" s="148"/>
      <c r="H52" s="149">
        <f>H25+H36+H46+H49</f>
        <v>-2927350</v>
      </c>
    </row>
    <row r="54" spans="2:9" x14ac:dyDescent="0.2">
      <c r="B54" t="s">
        <v>87</v>
      </c>
      <c r="F54" s="50">
        <v>-2080772</v>
      </c>
      <c r="H54" s="50">
        <v>-1616262</v>
      </c>
    </row>
    <row r="55" spans="2:9" x14ac:dyDescent="0.2">
      <c r="B55" t="s">
        <v>152</v>
      </c>
      <c r="H55" s="50">
        <v>-180042</v>
      </c>
    </row>
    <row r="56" spans="2:9" x14ac:dyDescent="0.2">
      <c r="B56" t="s">
        <v>153</v>
      </c>
    </row>
    <row r="57" spans="2:9" ht="7.5" customHeight="1" x14ac:dyDescent="0.2"/>
    <row r="58" spans="2:9" x14ac:dyDescent="0.2">
      <c r="B58" t="s">
        <v>88</v>
      </c>
      <c r="F58" s="50">
        <v>-3618766</v>
      </c>
      <c r="H58" s="50">
        <v>-4723654</v>
      </c>
    </row>
    <row r="60" spans="2:9" ht="14.25" customHeight="1" x14ac:dyDescent="0.2">
      <c r="B60" s="147" t="s">
        <v>89</v>
      </c>
      <c r="C60" s="148"/>
      <c r="D60" s="148"/>
      <c r="E60" s="148"/>
      <c r="F60" s="149">
        <f>F58-F55-F54</f>
        <v>-1537994</v>
      </c>
      <c r="G60" s="148"/>
      <c r="H60" s="149">
        <f>H58-H55-H54</f>
        <v>-2927350</v>
      </c>
    </row>
    <row r="62" spans="2:9" x14ac:dyDescent="0.2">
      <c r="I62" s="9"/>
    </row>
    <row r="63" spans="2:9" x14ac:dyDescent="0.2">
      <c r="B63" s="204"/>
      <c r="C63" s="81"/>
      <c r="D63" s="81"/>
      <c r="E63" s="81"/>
      <c r="F63" s="9"/>
      <c r="G63" s="81"/>
      <c r="H63" s="9"/>
    </row>
    <row r="64" spans="2:9" x14ac:dyDescent="0.2">
      <c r="B64" s="81"/>
      <c r="C64" s="81"/>
      <c r="D64" s="81"/>
      <c r="E64" s="81"/>
      <c r="F64" s="9"/>
      <c r="G64" s="81"/>
      <c r="H64" s="9"/>
    </row>
    <row r="65" spans="2:8" x14ac:dyDescent="0.2">
      <c r="B65" s="150"/>
      <c r="C65" s="81"/>
      <c r="D65" s="81"/>
      <c r="E65" s="81"/>
      <c r="F65" s="9"/>
      <c r="G65" s="81"/>
      <c r="H65" s="9"/>
    </row>
    <row r="66" spans="2:8" x14ac:dyDescent="0.2">
      <c r="B66" s="81"/>
      <c r="C66" s="81"/>
      <c r="D66" s="81"/>
      <c r="E66" s="81"/>
      <c r="F66" s="151"/>
      <c r="G66" s="81"/>
      <c r="H66" s="151"/>
    </row>
    <row r="67" spans="2:8" x14ac:dyDescent="0.2">
      <c r="B67" s="151"/>
      <c r="C67" s="81"/>
      <c r="D67" s="9"/>
      <c r="E67" s="81"/>
      <c r="F67" s="151"/>
      <c r="G67" s="81"/>
      <c r="H67" s="151"/>
    </row>
    <row r="68" spans="2:8" x14ac:dyDescent="0.2">
      <c r="B68" s="151"/>
      <c r="C68" s="81"/>
      <c r="D68" s="9"/>
      <c r="E68" s="81"/>
      <c r="F68" s="151"/>
      <c r="G68" s="81"/>
      <c r="H68" s="151"/>
    </row>
    <row r="69" spans="2:8" x14ac:dyDescent="0.2">
      <c r="B69" s="151"/>
      <c r="C69" s="81"/>
      <c r="D69" s="9"/>
      <c r="E69" s="81"/>
      <c r="F69" s="151"/>
      <c r="G69" s="81"/>
      <c r="H69" s="151"/>
    </row>
    <row r="70" spans="2:8" x14ac:dyDescent="0.2">
      <c r="B70" s="81"/>
      <c r="C70" s="81"/>
      <c r="D70" s="111"/>
      <c r="E70" s="81"/>
      <c r="F70" s="9"/>
      <c r="G70" s="81"/>
      <c r="H70" s="9"/>
    </row>
    <row r="71" spans="2:8" x14ac:dyDescent="0.2">
      <c r="B71" s="81"/>
      <c r="C71" s="81"/>
      <c r="D71" s="81"/>
      <c r="E71" s="81"/>
      <c r="F71" s="9"/>
      <c r="G71" s="81"/>
      <c r="H71" s="9"/>
    </row>
    <row r="72" spans="2:8" x14ac:dyDescent="0.2">
      <c r="B72" s="151"/>
      <c r="C72" s="81"/>
      <c r="D72" s="9"/>
      <c r="E72" s="81"/>
      <c r="F72" s="9"/>
      <c r="G72" s="81"/>
      <c r="H72" s="9"/>
    </row>
    <row r="73" spans="2:8" x14ac:dyDescent="0.2">
      <c r="B73" s="81"/>
      <c r="C73" s="81"/>
      <c r="D73" s="81"/>
      <c r="E73" s="81"/>
      <c r="F73" s="9"/>
      <c r="G73" s="81"/>
      <c r="H73" s="9"/>
    </row>
    <row r="74" spans="2:8" x14ac:dyDescent="0.2">
      <c r="B74" s="81"/>
      <c r="C74" s="81"/>
      <c r="D74" s="205"/>
      <c r="E74" s="81"/>
      <c r="F74" s="9"/>
      <c r="G74" s="81"/>
      <c r="H74" s="9"/>
    </row>
    <row r="75" spans="2:8" x14ac:dyDescent="0.2">
      <c r="B75" s="81"/>
      <c r="C75" s="81"/>
      <c r="D75" s="81"/>
      <c r="E75" s="81"/>
      <c r="F75" s="9"/>
      <c r="G75" s="81"/>
      <c r="H75" s="9"/>
    </row>
    <row r="76" spans="2:8" x14ac:dyDescent="0.2">
      <c r="B76" s="81"/>
      <c r="C76" s="81"/>
      <c r="D76" s="81"/>
      <c r="E76" s="81"/>
      <c r="F76" s="9"/>
      <c r="G76" s="81"/>
      <c r="H76" s="9"/>
    </row>
    <row r="77" spans="2:8" x14ac:dyDescent="0.2">
      <c r="B77" s="81"/>
      <c r="C77" s="81"/>
      <c r="D77" s="81"/>
      <c r="E77" s="81"/>
      <c r="F77" s="9"/>
      <c r="G77" s="81"/>
      <c r="H77" s="9"/>
    </row>
    <row r="78" spans="2:8" x14ac:dyDescent="0.2">
      <c r="B78" s="81"/>
      <c r="C78" s="81"/>
      <c r="D78" s="81"/>
      <c r="E78" s="81"/>
      <c r="F78" s="9"/>
      <c r="G78" s="81"/>
      <c r="H78" s="9"/>
    </row>
    <row r="79" spans="2:8" x14ac:dyDescent="0.2">
      <c r="B79" s="81"/>
      <c r="C79" s="81"/>
      <c r="D79" s="81"/>
      <c r="E79" s="81"/>
      <c r="F79" s="9"/>
      <c r="G79" s="81"/>
      <c r="H79" s="9"/>
    </row>
    <row r="80" spans="2:8" x14ac:dyDescent="0.2">
      <c r="B80" s="81"/>
      <c r="C80" s="81"/>
      <c r="D80" s="152"/>
      <c r="E80" s="123"/>
      <c r="F80" s="9"/>
      <c r="G80" s="123"/>
      <c r="H80" s="9"/>
    </row>
    <row r="81" spans="2:8" x14ac:dyDescent="0.2">
      <c r="B81" s="81"/>
      <c r="C81" s="81"/>
      <c r="D81" s="81"/>
      <c r="E81" s="81"/>
      <c r="F81" s="9"/>
      <c r="G81" s="81"/>
      <c r="H81" s="9"/>
    </row>
    <row r="82" spans="2:8" x14ac:dyDescent="0.2">
      <c r="B82" s="81"/>
      <c r="C82" s="81"/>
      <c r="D82" s="81"/>
      <c r="E82" s="81"/>
      <c r="F82" s="9"/>
      <c r="G82" s="81"/>
      <c r="H82" s="9"/>
    </row>
    <row r="83" spans="2:8" x14ac:dyDescent="0.2">
      <c r="B83" s="81"/>
      <c r="C83" s="81"/>
      <c r="D83" s="81"/>
      <c r="E83" s="81"/>
      <c r="F83" s="9"/>
      <c r="G83" s="81"/>
      <c r="H83" s="9"/>
    </row>
    <row r="84" spans="2:8" x14ac:dyDescent="0.2">
      <c r="B84" s="81"/>
      <c r="C84" s="81"/>
      <c r="D84" s="81"/>
      <c r="E84" s="81"/>
      <c r="F84" s="9"/>
      <c r="G84" s="81"/>
      <c r="H84" s="9"/>
    </row>
  </sheetData>
  <pageMargins left="0.34" right="0.36" top="0.984251969" bottom="0.984251969" header="0.4921259845" footer="0.4921259845"/>
  <pageSetup paperSize="9" scale="98" orientation="portrait" r:id="rId1"/>
  <headerFooter alignWithMargins="0"/>
  <rowBreaks count="1" manualBreakCount="1">
    <brk id="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showZeros="0" zoomScale="90" workbookViewId="0">
      <pane xSplit="1" ySplit="3" topLeftCell="B16" activePane="bottomRight" state="frozen"/>
      <selection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baseColWidth="10" defaultRowHeight="12.75" outlineLevelRow="1" x14ac:dyDescent="0.2"/>
  <cols>
    <col min="1" max="1" width="49.140625" customWidth="1"/>
    <col min="2" max="2" width="13.7109375" style="50" customWidth="1"/>
    <col min="3" max="3" width="11.5703125" bestFit="1" customWidth="1"/>
    <col min="4" max="4" width="14.42578125" customWidth="1"/>
    <col min="5" max="5" width="11.5703125" bestFit="1" customWidth="1"/>
    <col min="6" max="6" width="13.7109375" customWidth="1"/>
    <col min="7" max="8" width="14.140625" customWidth="1"/>
  </cols>
  <sheetData>
    <row r="1" spans="1:8" s="82" customFormat="1" ht="39.75" customHeight="1" x14ac:dyDescent="0.2">
      <c r="A1" s="5" t="s">
        <v>90</v>
      </c>
      <c r="B1" s="5"/>
      <c r="C1" s="6"/>
      <c r="D1" s="7"/>
      <c r="E1" s="7"/>
      <c r="F1" s="7"/>
      <c r="G1" s="7"/>
      <c r="H1" s="7"/>
    </row>
    <row r="2" spans="1:8" s="82" customFormat="1" ht="39.75" customHeight="1" thickBot="1" x14ac:dyDescent="0.25">
      <c r="A2" s="83"/>
      <c r="B2" s="84"/>
      <c r="C2" s="85"/>
      <c r="D2" s="85"/>
      <c r="E2" s="85"/>
      <c r="F2" s="85"/>
      <c r="G2" s="85"/>
      <c r="H2" s="86"/>
    </row>
    <row r="3" spans="1:8" s="82" customFormat="1" ht="26.25" thickBot="1" x14ac:dyDescent="0.25">
      <c r="A3" s="14"/>
      <c r="B3" s="15">
        <v>43281</v>
      </c>
      <c r="C3" s="15" t="s">
        <v>91</v>
      </c>
      <c r="D3" s="15" t="s">
        <v>39</v>
      </c>
      <c r="E3" s="15" t="s">
        <v>92</v>
      </c>
      <c r="F3" s="16">
        <v>42916</v>
      </c>
      <c r="G3" s="14" t="s">
        <v>91</v>
      </c>
    </row>
    <row r="4" spans="1:8" ht="15" customHeight="1" thickBot="1" x14ac:dyDescent="0.25">
      <c r="B4"/>
    </row>
    <row r="5" spans="1:8" ht="13.5" thickBot="1" x14ac:dyDescent="0.25">
      <c r="A5" s="19" t="s">
        <v>93</v>
      </c>
      <c r="B5" s="18">
        <v>21801556</v>
      </c>
      <c r="C5" s="45">
        <f>B5/B14</f>
        <v>0.98082431860406805</v>
      </c>
      <c r="D5" s="87">
        <f>B5-F5</f>
        <v>-364206</v>
      </c>
      <c r="E5" s="45">
        <f>B5/F5-1</f>
        <v>-1.6431016447799096E-2</v>
      </c>
      <c r="F5" s="87">
        <v>22165762</v>
      </c>
      <c r="G5" s="45">
        <v>1</v>
      </c>
    </row>
    <row r="6" spans="1:8" ht="13.5" thickBot="1" x14ac:dyDescent="0.25">
      <c r="B6"/>
      <c r="E6" s="47"/>
      <c r="G6" s="47"/>
    </row>
    <row r="7" spans="1:8" ht="13.5" thickBot="1" x14ac:dyDescent="0.25">
      <c r="A7" s="19" t="s">
        <v>94</v>
      </c>
      <c r="B7" s="18">
        <v>13009106</v>
      </c>
      <c r="C7" s="45">
        <f>B7/B14</f>
        <v>0.58526315865244172</v>
      </c>
      <c r="D7" s="87">
        <f>B7-F7</f>
        <v>188034</v>
      </c>
      <c r="E7" s="45">
        <f>B7/F7-1</f>
        <v>1.4666012327206435E-2</v>
      </c>
      <c r="F7" s="87">
        <v>12821072</v>
      </c>
      <c r="G7" s="45">
        <f>F7/F14</f>
        <v>0.55699362586694978</v>
      </c>
    </row>
    <row r="8" spans="1:8" x14ac:dyDescent="0.2">
      <c r="B8"/>
      <c r="E8" s="47"/>
    </row>
    <row r="9" spans="1:8" ht="13.5" thickBot="1" x14ac:dyDescent="0.25">
      <c r="A9" s="32" t="s">
        <v>95</v>
      </c>
      <c r="B9" s="30">
        <f>B5-B7</f>
        <v>8792450</v>
      </c>
      <c r="C9" s="88">
        <f>B9/$B$14</f>
        <v>0.39556115995162633</v>
      </c>
      <c r="D9" s="89">
        <f>(C9-G9)*100</f>
        <v>-1.0405889114366518</v>
      </c>
      <c r="E9" s="88">
        <f>B9/F9-1</f>
        <v>-5.9096663452720244E-2</v>
      </c>
      <c r="F9" s="30">
        <f>F5-F7</f>
        <v>9344690</v>
      </c>
      <c r="G9" s="90">
        <f>F9/F14</f>
        <v>0.40596704906599285</v>
      </c>
      <c r="H9" s="91"/>
    </row>
    <row r="10" spans="1:8" x14ac:dyDescent="0.2">
      <c r="A10" s="92" t="s">
        <v>96</v>
      </c>
      <c r="B10" s="93"/>
      <c r="C10" s="94">
        <f>B9/B5</f>
        <v>0.40329460888021018</v>
      </c>
      <c r="D10" s="95"/>
      <c r="E10" s="94"/>
      <c r="F10" s="93"/>
      <c r="G10" s="94">
        <f>F9/F5</f>
        <v>0.42158216803013587</v>
      </c>
      <c r="H10" s="91"/>
    </row>
    <row r="11" spans="1:8" ht="13.5" thickBot="1" x14ac:dyDescent="0.25">
      <c r="B11"/>
      <c r="E11" s="47"/>
    </row>
    <row r="12" spans="1:8" ht="13.5" thickBot="1" x14ac:dyDescent="0.25">
      <c r="A12" s="19" t="s">
        <v>97</v>
      </c>
      <c r="B12" s="18">
        <v>426233</v>
      </c>
      <c r="C12" s="45">
        <f>B12/B14</f>
        <v>1.9175681395931912E-2</v>
      </c>
      <c r="D12" s="87">
        <f>B12-F12</f>
        <v>-426351</v>
      </c>
      <c r="E12" s="45">
        <f>B12/F12-1</f>
        <v>-0.5000692013924728</v>
      </c>
      <c r="F12" s="87">
        <v>852584</v>
      </c>
      <c r="G12" s="45">
        <f>F12/F14</f>
        <v>3.7039325067057378E-2</v>
      </c>
      <c r="H12" s="91"/>
    </row>
    <row r="13" spans="1:8" x14ac:dyDescent="0.2">
      <c r="B13"/>
      <c r="E13" s="47"/>
      <c r="G13" s="47"/>
    </row>
    <row r="14" spans="1:8" ht="13.5" thickBot="1" x14ac:dyDescent="0.25">
      <c r="A14" s="32" t="s">
        <v>98</v>
      </c>
      <c r="B14" s="30">
        <f>B5+B12</f>
        <v>22227789</v>
      </c>
      <c r="C14" s="88">
        <f>B14/$B$14</f>
        <v>1</v>
      </c>
      <c r="D14" s="30">
        <f>(C14-G14)*100</f>
        <v>0</v>
      </c>
      <c r="E14" s="88">
        <f>B14/F14-1</f>
        <v>-3.4344648394806443E-2</v>
      </c>
      <c r="F14" s="30">
        <f>+F12+F5</f>
        <v>23018346</v>
      </c>
      <c r="G14" s="88">
        <f>F14/$F$14</f>
        <v>1</v>
      </c>
      <c r="H14" s="91"/>
    </row>
    <row r="15" spans="1:8" x14ac:dyDescent="0.2">
      <c r="A15" s="92" t="s">
        <v>96</v>
      </c>
      <c r="B15" s="93"/>
      <c r="C15" s="94">
        <f>(B14-B7)/B14</f>
        <v>0.41473684134755823</v>
      </c>
      <c r="D15" s="95"/>
      <c r="E15" s="94"/>
      <c r="F15" s="93"/>
      <c r="G15" s="94">
        <f>(F14-F7)/F14</f>
        <v>0.44300637413305022</v>
      </c>
      <c r="H15" s="91"/>
    </row>
    <row r="16" spans="1:8" ht="13.5" thickBot="1" x14ac:dyDescent="0.25">
      <c r="B16"/>
      <c r="G16" s="47"/>
    </row>
    <row r="17" spans="1:8" ht="13.5" thickBot="1" x14ac:dyDescent="0.25">
      <c r="A17" s="19" t="s">
        <v>99</v>
      </c>
      <c r="B17" s="18">
        <v>110560</v>
      </c>
      <c r="C17" s="45">
        <f>B17/$B$14</f>
        <v>4.9739539996533164E-3</v>
      </c>
      <c r="D17" s="87">
        <f>B17-F17</f>
        <v>-3871</v>
      </c>
      <c r="E17" s="18">
        <f>B17/F17-1</f>
        <v>-3.3828245842472793E-2</v>
      </c>
      <c r="F17" s="87">
        <v>114431</v>
      </c>
      <c r="G17" s="45">
        <f>F17/$F$14</f>
        <v>4.9712955048985706E-3</v>
      </c>
    </row>
    <row r="18" spans="1:8" ht="13.5" thickBot="1" x14ac:dyDescent="0.25">
      <c r="A18" s="19" t="s">
        <v>100</v>
      </c>
      <c r="B18" s="18">
        <v>4407968</v>
      </c>
      <c r="C18" s="45">
        <f>B18/$B$14</f>
        <v>0.19830888263335594</v>
      </c>
      <c r="D18" s="87">
        <f>B18-F18</f>
        <v>-350791</v>
      </c>
      <c r="E18" s="18">
        <f>B18/F18-1</f>
        <v>-7.3714806738479521E-2</v>
      </c>
      <c r="F18" s="87">
        <v>4758759</v>
      </c>
      <c r="G18" s="45">
        <f>F18/$F$14</f>
        <v>0.20673766047308526</v>
      </c>
      <c r="H18" s="96"/>
    </row>
    <row r="19" spans="1:8" x14ac:dyDescent="0.2">
      <c r="B19"/>
      <c r="G19" s="47"/>
    </row>
    <row r="20" spans="1:8" ht="13.5" thickBot="1" x14ac:dyDescent="0.25">
      <c r="A20" s="32" t="s">
        <v>101</v>
      </c>
      <c r="B20" s="30">
        <f>B9+B17-B18+B12</f>
        <v>4921275</v>
      </c>
      <c r="C20" s="88">
        <f>B20/$B$14</f>
        <v>0.22140191271385562</v>
      </c>
      <c r="D20" s="30">
        <f>(C20-G20)*100</f>
        <v>-1.9838096451007925</v>
      </c>
      <c r="E20" s="88">
        <f>B20/F20-1</f>
        <v>-0.11375421262875596</v>
      </c>
      <c r="F20" s="30">
        <f>F9+F17-F18+F12</f>
        <v>5552946</v>
      </c>
      <c r="G20" s="88">
        <f>F20/$F$14</f>
        <v>0.24124000916486354</v>
      </c>
    </row>
    <row r="21" spans="1:8" ht="13.5" thickBot="1" x14ac:dyDescent="0.25">
      <c r="B21"/>
      <c r="G21" s="47"/>
    </row>
    <row r="22" spans="1:8" ht="13.5" thickBot="1" x14ac:dyDescent="0.25">
      <c r="A22" s="19" t="s">
        <v>102</v>
      </c>
      <c r="B22" s="18">
        <v>406987</v>
      </c>
      <c r="C22" s="45">
        <f>B22/$B$14</f>
        <v>1.8309828296462594E-2</v>
      </c>
      <c r="D22" s="87">
        <f>B22-F22</f>
        <v>35503</v>
      </c>
      <c r="E22" s="18">
        <f>B22/F22-1</f>
        <v>9.5570737905266379E-2</v>
      </c>
      <c r="F22" s="87">
        <v>371484</v>
      </c>
      <c r="G22" s="45">
        <f>F22/$F$14</f>
        <v>1.6138605267294184E-2</v>
      </c>
      <c r="H22" s="96"/>
    </row>
    <row r="23" spans="1:8" ht="13.5" thickBot="1" x14ac:dyDescent="0.25">
      <c r="A23" s="19" t="s">
        <v>103</v>
      </c>
      <c r="B23" s="18">
        <v>4534032</v>
      </c>
      <c r="C23" s="45">
        <f>B23/$B$14</f>
        <v>0.20398034190445122</v>
      </c>
      <c r="D23" s="87">
        <f>B23-F23</f>
        <v>-147545</v>
      </c>
      <c r="E23" s="18">
        <f>B23/F23-1</f>
        <v>-3.1516089557001803E-2</v>
      </c>
      <c r="F23" s="87">
        <v>4681577</v>
      </c>
      <c r="G23" s="45">
        <f>F23/$F$14</f>
        <v>0.20338459592187902</v>
      </c>
      <c r="H23" s="96"/>
    </row>
    <row r="24" spans="1:8" ht="13.5" thickBot="1" x14ac:dyDescent="0.25">
      <c r="A24" s="19" t="s">
        <v>104</v>
      </c>
      <c r="B24" s="18">
        <v>1500</v>
      </c>
      <c r="C24" s="45">
        <f>B24/$B$14</f>
        <v>6.7483095147250136E-5</v>
      </c>
      <c r="D24" s="87"/>
      <c r="E24" s="18">
        <f>IF(B24/F24-1&gt;100%,"N/R",B24/F24-1)</f>
        <v>-0.70326409495548958</v>
      </c>
      <c r="F24" s="87">
        <v>5055</v>
      </c>
      <c r="G24" s="45">
        <f>F24/$F$14</f>
        <v>2.1960743834504876E-4</v>
      </c>
    </row>
    <row r="25" spans="1:8" x14ac:dyDescent="0.2">
      <c r="B25"/>
      <c r="G25" s="47"/>
    </row>
    <row r="26" spans="1:8" ht="13.5" thickBot="1" x14ac:dyDescent="0.25">
      <c r="A26" s="32" t="s">
        <v>105</v>
      </c>
      <c r="B26" s="30">
        <f>B20-B22-B23+B24</f>
        <v>-18244</v>
      </c>
      <c r="C26" s="88">
        <f>B26/$B$14</f>
        <v>-8.2077439191095434E-4</v>
      </c>
      <c r="D26" s="30">
        <f>(C26-G26)*100</f>
        <v>-2.2757189805946352</v>
      </c>
      <c r="E26" s="88">
        <f>B26/F26-1</f>
        <v>-1.0361310254683724</v>
      </c>
      <c r="F26" s="30">
        <f>F20-F22-F23+F24</f>
        <v>504940</v>
      </c>
      <c r="G26" s="88">
        <f>F26/$F$14</f>
        <v>2.1936415414035397E-2</v>
      </c>
    </row>
    <row r="27" spans="1:8" s="81" customFormat="1" ht="13.5" thickBot="1" x14ac:dyDescent="0.25">
      <c r="G27" s="49"/>
    </row>
    <row r="28" spans="1:8" ht="13.5" thickBot="1" x14ac:dyDescent="0.25">
      <c r="A28" s="19" t="s">
        <v>106</v>
      </c>
      <c r="B28" s="18">
        <v>346873</v>
      </c>
      <c r="C28" s="45">
        <f>B28/$B$14</f>
        <v>1.5605375775341398E-2</v>
      </c>
      <c r="D28" s="87">
        <f>B28-F28</f>
        <v>13843</v>
      </c>
      <c r="E28" s="18">
        <f>B28/F28-1</f>
        <v>4.1566825811488517E-2</v>
      </c>
      <c r="F28" s="87">
        <v>333030</v>
      </c>
      <c r="G28" s="45">
        <f>F28/$F$14</f>
        <v>1.4468024765984489E-2</v>
      </c>
    </row>
    <row r="29" spans="1:8" ht="13.5" thickBot="1" x14ac:dyDescent="0.25">
      <c r="A29" s="19" t="s">
        <v>107</v>
      </c>
      <c r="B29" s="18">
        <v>82709</v>
      </c>
      <c r="C29" s="45">
        <f>B29/$B$14</f>
        <v>3.7209728776892745E-3</v>
      </c>
      <c r="D29" s="87">
        <f>B29-F29</f>
        <v>-40255</v>
      </c>
      <c r="E29" s="18">
        <f>IF(B29/F29-1&gt;100%,"N/R",B29/F29-1)</f>
        <v>-0.32737223902930934</v>
      </c>
      <c r="F29" s="87">
        <v>122964</v>
      </c>
      <c r="G29" s="45">
        <f>F29/$F$14</f>
        <v>5.3419998118022904E-3</v>
      </c>
    </row>
    <row r="30" spans="1:8" x14ac:dyDescent="0.2">
      <c r="B30"/>
      <c r="G30" s="47"/>
    </row>
    <row r="31" spans="1:8" ht="13.5" thickBot="1" x14ac:dyDescent="0.25">
      <c r="A31" s="32" t="s">
        <v>108</v>
      </c>
      <c r="B31" s="30">
        <f>B26-B28+B29</f>
        <v>-282408</v>
      </c>
      <c r="C31" s="88">
        <f>B31/$B$14</f>
        <v>-1.2705177289563078E-2</v>
      </c>
      <c r="D31" s="30">
        <f>(C31-G31)*100</f>
        <v>-2.5515567749416275</v>
      </c>
      <c r="E31" s="88">
        <f>B31/F31-1</f>
        <v>-1.9577243161485924</v>
      </c>
      <c r="F31" s="30">
        <f>F26-F28+F29</f>
        <v>294874</v>
      </c>
      <c r="G31" s="88">
        <f>F31/$F$14</f>
        <v>1.2810390459853197E-2</v>
      </c>
    </row>
    <row r="32" spans="1:8" ht="13.5" thickBot="1" x14ac:dyDescent="0.25">
      <c r="B32"/>
      <c r="G32" s="47"/>
    </row>
    <row r="33" spans="1:8" ht="13.5" thickBot="1" x14ac:dyDescent="0.25">
      <c r="A33" s="19" t="s">
        <v>109</v>
      </c>
      <c r="B33" s="18">
        <v>183698</v>
      </c>
      <c r="C33" s="45">
        <f>B33/$B$14</f>
        <v>8.2643397415730381E-3</v>
      </c>
      <c r="D33" s="87">
        <f>B33-F33</f>
        <v>31274</v>
      </c>
      <c r="E33" s="18" t="str">
        <f>IF(B33/F33-1&lt;100%,"N/R",B33/F33-1)</f>
        <v>N/R</v>
      </c>
      <c r="F33" s="87">
        <v>152424</v>
      </c>
      <c r="G33" s="45">
        <f>F33/$F$14</f>
        <v>6.6218485029289247E-3</v>
      </c>
      <c r="H33" s="96"/>
    </row>
    <row r="34" spans="1:8" x14ac:dyDescent="0.2">
      <c r="B34"/>
      <c r="G34" s="47"/>
    </row>
    <row r="35" spans="1:8" ht="13.5" thickBot="1" x14ac:dyDescent="0.25">
      <c r="A35" s="32" t="s">
        <v>110</v>
      </c>
      <c r="B35" s="30">
        <f>B31+B33</f>
        <v>-98710</v>
      </c>
      <c r="C35" s="88">
        <f>B35/$B$14</f>
        <v>-4.4408375479900409E-3</v>
      </c>
      <c r="D35" s="30">
        <f>(C35-G35)*100</f>
        <v>-2.3873076510772164</v>
      </c>
      <c r="E35" s="88">
        <f>B35/F35-1</f>
        <v>-1.2206806200787841</v>
      </c>
      <c r="F35" s="30">
        <f>F31+F33</f>
        <v>447298</v>
      </c>
      <c r="G35" s="88">
        <f>F35/$F$14</f>
        <v>1.9432238962782122E-2</v>
      </c>
    </row>
    <row r="36" spans="1:8" ht="13.5" thickBot="1" x14ac:dyDescent="0.25">
      <c r="B36"/>
    </row>
    <row r="37" spans="1:8" ht="13.5" thickBot="1" x14ac:dyDescent="0.25">
      <c r="A37" s="19" t="s">
        <v>111</v>
      </c>
      <c r="B37" s="18">
        <v>-39694</v>
      </c>
      <c r="C37" s="45">
        <f>B37/$B$14</f>
        <v>-1.7857826525166313E-3</v>
      </c>
      <c r="D37" s="87">
        <f>B37-F37</f>
        <v>-4921821</v>
      </c>
      <c r="E37" s="18" t="str">
        <f>IF(B37/F37-1&lt;100%,"N/R",B37/F37-1)</f>
        <v>N/R</v>
      </c>
      <c r="F37" s="87">
        <v>4882127</v>
      </c>
      <c r="G37" s="45">
        <f>F37/$F$14</f>
        <v>0.21209721150251196</v>
      </c>
    </row>
    <row r="38" spans="1:8" ht="13.5" thickBot="1" x14ac:dyDescent="0.25">
      <c r="A38" s="19" t="s">
        <v>112</v>
      </c>
      <c r="B38" s="18">
        <v>0</v>
      </c>
      <c r="C38" s="45">
        <f>B38/$B$14</f>
        <v>0</v>
      </c>
      <c r="D38" s="87"/>
      <c r="E38" s="18"/>
      <c r="F38" s="87">
        <v>0</v>
      </c>
      <c r="G38" s="45">
        <f>F38/$F$14</f>
        <v>0</v>
      </c>
    </row>
    <row r="39" spans="1:8" ht="13.5" outlineLevel="1" thickBot="1" x14ac:dyDescent="0.25">
      <c r="A39" s="19" t="s">
        <v>113</v>
      </c>
      <c r="B39" s="18">
        <v>903</v>
      </c>
      <c r="C39" s="45">
        <f>B39/$B$14</f>
        <v>4.062482327864458E-5</v>
      </c>
      <c r="D39" s="87">
        <f>B39-F39</f>
        <v>-289199</v>
      </c>
      <c r="E39" s="18">
        <f>B39/F39-1</f>
        <v>-0.99688730170767526</v>
      </c>
      <c r="F39" s="87">
        <v>290102</v>
      </c>
      <c r="G39" s="45">
        <f>F39/$F$14</f>
        <v>1.2603077562566832E-2</v>
      </c>
    </row>
    <row r="40" spans="1:8" ht="13.5" outlineLevel="1" thickBot="1" x14ac:dyDescent="0.25">
      <c r="A40" s="19" t="s">
        <v>114</v>
      </c>
      <c r="B40" s="18">
        <v>17623</v>
      </c>
      <c r="C40" s="45">
        <f>B40/$B$14</f>
        <v>7.9283639051999275E-4</v>
      </c>
      <c r="D40" s="87">
        <f>B40-F40</f>
        <v>33946</v>
      </c>
      <c r="E40" s="18" t="str">
        <f>IF(B40/F40-1&lt;100%,"N/R",B40/F40-1)</f>
        <v>N/R</v>
      </c>
      <c r="F40" s="87">
        <v>-16323</v>
      </c>
      <c r="G40" s="45">
        <f>F40/$F$14</f>
        <v>-7.0913001307739483E-4</v>
      </c>
    </row>
    <row r="41" spans="1:8" ht="13.5" thickBot="1" x14ac:dyDescent="0.25">
      <c r="A41" s="19" t="s">
        <v>115</v>
      </c>
      <c r="B41" s="18">
        <f>B39-B40</f>
        <v>-16720</v>
      </c>
      <c r="C41" s="45">
        <f>B41/$B$14</f>
        <v>-7.5221156724134821E-4</v>
      </c>
      <c r="D41" s="18">
        <f>D39-D40</f>
        <v>-323145</v>
      </c>
      <c r="E41" s="18">
        <f>B41/F41-1</f>
        <v>-1.054564738516766</v>
      </c>
      <c r="F41" s="18">
        <f>F39-F40</f>
        <v>306425</v>
      </c>
      <c r="G41" s="45">
        <f>F41/$F$14</f>
        <v>1.3312207575644228E-2</v>
      </c>
    </row>
    <row r="42" spans="1:8" x14ac:dyDescent="0.2">
      <c r="B42"/>
      <c r="G42" s="47"/>
    </row>
    <row r="43" spans="1:8" ht="13.5" thickBot="1" x14ac:dyDescent="0.25">
      <c r="A43" s="32" t="s">
        <v>116</v>
      </c>
      <c r="B43" s="30">
        <f>B35+B37-B38-B41</f>
        <v>-121684</v>
      </c>
      <c r="C43" s="88">
        <f>B43/$B$14</f>
        <v>-5.4744086332653239E-3</v>
      </c>
      <c r="D43" s="30">
        <f>(C43-G43)*100</f>
        <v>-22.369165152291519</v>
      </c>
      <c r="E43" s="88">
        <f>IF(B43/F43-1&gt;100%,"N/R",B43/F43-1)</f>
        <v>-1.024225363328688</v>
      </c>
      <c r="F43" s="30">
        <f>F35+F37-F38-F41</f>
        <v>5023000</v>
      </c>
      <c r="G43" s="88">
        <f>F43/$F$14</f>
        <v>0.21821724288964986</v>
      </c>
    </row>
    <row r="44" spans="1:8" s="81" customFormat="1" ht="13.5" thickBot="1" x14ac:dyDescent="0.25"/>
    <row r="45" spans="1:8" s="81" customFormat="1" ht="13.5" thickBot="1" x14ac:dyDescent="0.25">
      <c r="A45" s="19" t="s">
        <v>117</v>
      </c>
      <c r="B45" s="18">
        <v>0</v>
      </c>
      <c r="C45" s="45">
        <f>B45/$B$14</f>
        <v>0</v>
      </c>
      <c r="D45" s="87"/>
      <c r="E45" s="18"/>
      <c r="F45" s="87">
        <v>-8941</v>
      </c>
      <c r="G45" s="46"/>
    </row>
    <row r="46" spans="1:8" s="97" customFormat="1" ht="13.5" thickBot="1" x14ac:dyDescent="0.25">
      <c r="A46" s="19" t="s">
        <v>118</v>
      </c>
      <c r="B46" s="18">
        <v>0</v>
      </c>
      <c r="C46" s="45">
        <f>B46/$B$14</f>
        <v>0</v>
      </c>
      <c r="D46" s="87"/>
      <c r="E46" s="18"/>
      <c r="F46" s="87"/>
      <c r="G46" s="46">
        <v>0</v>
      </c>
    </row>
    <row r="47" spans="1:8" x14ac:dyDescent="0.2">
      <c r="B47"/>
    </row>
    <row r="48" spans="1:8" ht="13.5" thickBot="1" x14ac:dyDescent="0.25">
      <c r="A48" s="32" t="s">
        <v>119</v>
      </c>
      <c r="B48" s="30">
        <f>B43+B46+B45</f>
        <v>-121684</v>
      </c>
      <c r="C48" s="88">
        <f>B48/$B$14</f>
        <v>-5.4744086332653239E-3</v>
      </c>
      <c r="D48" s="30">
        <f>(C48-G48)*100</f>
        <v>-22.330322222395509</v>
      </c>
      <c r="E48" s="88">
        <f>IF(B48/F48-1&gt;100%,"N/R",B48/F48-1)</f>
        <v>-1.0242685616583291</v>
      </c>
      <c r="F48" s="30">
        <f>F43+F46+F45</f>
        <v>5014059</v>
      </c>
      <c r="G48" s="88">
        <f>F48/$F$14</f>
        <v>0.21782881359068978</v>
      </c>
    </row>
    <row r="51" spans="1:6" s="33" customFormat="1" ht="15" x14ac:dyDescent="0.25">
      <c r="A51" s="98"/>
      <c r="B51" s="99"/>
      <c r="F51" s="99"/>
    </row>
    <row r="52" spans="1:6" ht="14.25" x14ac:dyDescent="0.2">
      <c r="A52" s="100"/>
      <c r="B52" s="101"/>
    </row>
    <row r="53" spans="1:6" ht="14.25" x14ac:dyDescent="0.2">
      <c r="A53" s="100"/>
      <c r="B53" s="101"/>
    </row>
    <row r="54" spans="1:6" ht="14.25" x14ac:dyDescent="0.2">
      <c r="A54" s="100"/>
      <c r="B54" s="101"/>
    </row>
    <row r="55" spans="1:6" ht="14.25" x14ac:dyDescent="0.2">
      <c r="A55" s="100"/>
      <c r="B55" s="101"/>
    </row>
    <row r="56" spans="1:6" ht="15" x14ac:dyDescent="0.25">
      <c r="A56" s="100"/>
      <c r="B56" s="102"/>
    </row>
    <row r="57" spans="1:6" x14ac:dyDescent="0.2">
      <c r="A57" s="13"/>
    </row>
    <row r="58" spans="1:6" x14ac:dyDescent="0.2">
      <c r="A58" s="13"/>
    </row>
  </sheetData>
  <conditionalFormatting sqref="D9:D10">
    <cfRule type="cellIs" dxfId="9" priority="9" stopIfTrue="1" operator="lessThan">
      <formula>0</formula>
    </cfRule>
  </conditionalFormatting>
  <conditionalFormatting sqref="D48">
    <cfRule type="cellIs" dxfId="8" priority="2" stopIfTrue="1" operator="lessThan">
      <formula>0</formula>
    </cfRule>
  </conditionalFormatting>
  <conditionalFormatting sqref="D14">
    <cfRule type="cellIs" dxfId="7" priority="8" stopIfTrue="1" operator="lessThan">
      <formula>0</formula>
    </cfRule>
  </conditionalFormatting>
  <conditionalFormatting sqref="D20">
    <cfRule type="cellIs" dxfId="6" priority="7" stopIfTrue="1" operator="lessThan">
      <formula>0</formula>
    </cfRule>
  </conditionalFormatting>
  <conditionalFormatting sqref="D26">
    <cfRule type="cellIs" dxfId="5" priority="6" stopIfTrue="1" operator="lessThan">
      <formula>0</formula>
    </cfRule>
  </conditionalFormatting>
  <conditionalFormatting sqref="D31">
    <cfRule type="cellIs" dxfId="4" priority="5" stopIfTrue="1" operator="lessThan">
      <formula>0</formula>
    </cfRule>
  </conditionalFormatting>
  <conditionalFormatting sqref="D35">
    <cfRule type="cellIs" dxfId="3" priority="4" stopIfTrue="1" operator="lessThan">
      <formula>0</formula>
    </cfRule>
  </conditionalFormatting>
  <conditionalFormatting sqref="D43">
    <cfRule type="cellIs" dxfId="2" priority="3" stopIfTrue="1" operator="lessThan">
      <formula>0</formula>
    </cfRule>
  </conditionalFormatting>
  <conditionalFormatting sqref="D15">
    <cfRule type="cellIs" dxfId="1" priority="1" stopIfTrue="1" operator="lessThan">
      <formula>0</formula>
    </cfRule>
  </conditionalFormatting>
  <pageMargins left="0.17" right="0.17" top="0.61" bottom="0.3" header="0.27" footer="0.23"/>
  <pageSetup paperSize="9" scale="72" orientation="portrait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showZeros="0" zoomScale="90" workbookViewId="0">
      <pane xSplit="1" ySplit="3" topLeftCell="B4" activePane="bottomRight" state="frozen"/>
      <selection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baseColWidth="10" defaultRowHeight="12.75" x14ac:dyDescent="0.2"/>
  <cols>
    <col min="1" max="1" width="49.140625" customWidth="1"/>
    <col min="2" max="2" width="13.7109375" style="50" customWidth="1"/>
    <col min="3" max="3" width="11.5703125" bestFit="1" customWidth="1"/>
    <col min="4" max="4" width="14.42578125" customWidth="1"/>
    <col min="5" max="5" width="11.5703125" bestFit="1" customWidth="1"/>
    <col min="6" max="6" width="13.7109375" customWidth="1"/>
    <col min="7" max="7" width="11.5703125" customWidth="1"/>
    <col min="8" max="8" width="13.7109375" style="50" hidden="1" customWidth="1"/>
    <col min="9" max="9" width="11.5703125" hidden="1" customWidth="1"/>
    <col min="10" max="10" width="13.28515625" customWidth="1"/>
  </cols>
  <sheetData>
    <row r="1" spans="1:10" s="82" customFormat="1" ht="39.75" customHeight="1" thickBot="1" x14ac:dyDescent="0.25">
      <c r="A1" s="153" t="s">
        <v>143</v>
      </c>
      <c r="B1" s="154"/>
      <c r="C1" s="155"/>
      <c r="D1" s="155"/>
      <c r="E1" s="155"/>
      <c r="F1" s="155"/>
      <c r="G1" s="156"/>
      <c r="H1" s="154"/>
      <c r="I1" s="155"/>
    </row>
    <row r="2" spans="1:10" ht="18" x14ac:dyDescent="0.2">
      <c r="A2" s="157"/>
      <c r="B2" s="158"/>
      <c r="C2" s="159"/>
      <c r="D2" s="159"/>
      <c r="E2" s="159"/>
      <c r="F2" s="159"/>
      <c r="G2" s="160"/>
      <c r="H2" s="158"/>
      <c r="I2" s="159"/>
    </row>
    <row r="3" spans="1:10" s="82" customFormat="1" ht="30" x14ac:dyDescent="0.2">
      <c r="A3" s="161"/>
      <c r="B3" s="162">
        <v>42551</v>
      </c>
      <c r="C3" s="163" t="s">
        <v>91</v>
      </c>
      <c r="D3" s="164" t="s">
        <v>39</v>
      </c>
      <c r="E3" s="165" t="s">
        <v>92</v>
      </c>
      <c r="F3" s="162">
        <v>42185</v>
      </c>
      <c r="G3" s="165" t="s">
        <v>91</v>
      </c>
      <c r="H3" s="162" t="s">
        <v>144</v>
      </c>
      <c r="I3" s="165" t="s">
        <v>91</v>
      </c>
    </row>
    <row r="4" spans="1:10" ht="15" customHeight="1" x14ac:dyDescent="0.25">
      <c r="A4" s="166"/>
      <c r="B4" s="167"/>
      <c r="C4" s="168"/>
      <c r="D4" s="169"/>
      <c r="E4" s="166"/>
      <c r="F4" s="170"/>
      <c r="G4" s="166"/>
      <c r="H4" s="167"/>
      <c r="I4" s="166"/>
    </row>
    <row r="5" spans="1:10" ht="15" x14ac:dyDescent="0.25">
      <c r="A5" s="171" t="s">
        <v>145</v>
      </c>
      <c r="B5" s="172">
        <f>'CPTE RESULTAT 16-15'!G7</f>
        <v>26827651</v>
      </c>
      <c r="C5" s="173">
        <f>B5/B5</f>
        <v>1</v>
      </c>
      <c r="D5" s="174">
        <f>B5-F5</f>
        <v>-1984590</v>
      </c>
      <c r="E5" s="175">
        <f>B5/F5-1</f>
        <v>-6.8880098566439174E-2</v>
      </c>
      <c r="F5" s="172">
        <v>28812241</v>
      </c>
      <c r="G5" s="176">
        <f>F5/F5</f>
        <v>1</v>
      </c>
      <c r="H5" s="172">
        <v>38610698</v>
      </c>
      <c r="I5" s="176">
        <f>H5/H5</f>
        <v>1</v>
      </c>
    </row>
    <row r="6" spans="1:10" ht="14.25" x14ac:dyDescent="0.2">
      <c r="A6" s="177"/>
      <c r="B6" s="172"/>
      <c r="C6" s="173"/>
      <c r="D6" s="178"/>
      <c r="E6" s="176"/>
      <c r="F6" s="172"/>
      <c r="G6" s="176">
        <f>F6/F5</f>
        <v>0</v>
      </c>
      <c r="H6" s="172"/>
      <c r="I6" s="176">
        <f>H6/H5</f>
        <v>0</v>
      </c>
    </row>
    <row r="7" spans="1:10" ht="15" x14ac:dyDescent="0.25">
      <c r="A7" s="171" t="s">
        <v>94</v>
      </c>
      <c r="B7" s="172">
        <f>'CPTE RESULTAT 16-15'!G9</f>
        <v>14740826</v>
      </c>
      <c r="C7" s="173">
        <f>B7/B5</f>
        <v>0.54946390945670198</v>
      </c>
      <c r="D7" s="174">
        <f>B7-F7</f>
        <v>-1192957</v>
      </c>
      <c r="E7" s="175">
        <f>B7/F7-1</f>
        <v>-7.4869665289153287E-2</v>
      </c>
      <c r="F7" s="172">
        <v>15933783</v>
      </c>
      <c r="G7" s="176">
        <f>F7/F5</f>
        <v>0.55302130091165069</v>
      </c>
      <c r="H7" s="172">
        <v>17817134</v>
      </c>
      <c r="I7" s="176">
        <f>H7/H5</f>
        <v>0.46145588976402341</v>
      </c>
    </row>
    <row r="8" spans="1:10" ht="14.25" x14ac:dyDescent="0.2">
      <c r="A8" s="179"/>
      <c r="B8" s="180"/>
      <c r="C8" s="181"/>
      <c r="D8" s="182"/>
      <c r="E8" s="183"/>
      <c r="F8" s="180"/>
      <c r="G8" s="183"/>
      <c r="H8" s="180"/>
      <c r="I8" s="183"/>
    </row>
    <row r="9" spans="1:10" ht="15" x14ac:dyDescent="0.25">
      <c r="A9" s="184" t="s">
        <v>146</v>
      </c>
      <c r="B9" s="185">
        <f>B5-B7</f>
        <v>12086825</v>
      </c>
      <c r="C9" s="186">
        <f>B9/B5</f>
        <v>0.45053609054329802</v>
      </c>
      <c r="D9" s="187">
        <f>(C9-G9)*100</f>
        <v>0.35573914549487107</v>
      </c>
      <c r="E9" s="188">
        <f>B9/F9-1</f>
        <v>-6.1469548605896707E-2</v>
      </c>
      <c r="F9" s="185">
        <v>12878458</v>
      </c>
      <c r="G9" s="189">
        <f>F9/F5</f>
        <v>0.44697869908834931</v>
      </c>
      <c r="H9" s="185">
        <f>H5-H7</f>
        <v>20793564</v>
      </c>
      <c r="I9" s="189">
        <f>H9/H5</f>
        <v>0.53854411023597659</v>
      </c>
      <c r="J9" s="91"/>
    </row>
    <row r="10" spans="1:10" ht="14.25" x14ac:dyDescent="0.2">
      <c r="A10" s="190"/>
      <c r="B10" s="191"/>
      <c r="C10" s="173"/>
      <c r="D10" s="178"/>
      <c r="E10" s="176"/>
      <c r="F10" s="191"/>
      <c r="G10" s="176"/>
      <c r="H10" s="191"/>
      <c r="I10" s="176"/>
    </row>
    <row r="11" spans="1:10" ht="14.25" x14ac:dyDescent="0.2">
      <c r="A11" s="177" t="s">
        <v>99</v>
      </c>
      <c r="B11" s="192">
        <v>112958</v>
      </c>
      <c r="C11" s="173">
        <f>B11/B5</f>
        <v>4.210506540434718E-3</v>
      </c>
      <c r="D11" s="174">
        <f>B11-F11</f>
        <v>-25440</v>
      </c>
      <c r="E11" s="175">
        <f>B11/F11-1</f>
        <v>-0.18381768522666508</v>
      </c>
      <c r="F11" s="192">
        <v>138398</v>
      </c>
      <c r="G11" s="176">
        <f>F11/F5</f>
        <v>4.8034444804206655E-3</v>
      </c>
      <c r="H11" s="172">
        <v>139605</v>
      </c>
      <c r="I11" s="176">
        <f>H11/H5</f>
        <v>3.6157077502199002E-3</v>
      </c>
    </row>
    <row r="12" spans="1:10" ht="14.25" x14ac:dyDescent="0.2">
      <c r="A12" s="177" t="s">
        <v>100</v>
      </c>
      <c r="B12" s="192">
        <f>'CPTE RESULTAT 16-15'!G11</f>
        <v>5233666</v>
      </c>
      <c r="C12" s="173">
        <f>B12/B5</f>
        <v>0.19508476534155003</v>
      </c>
      <c r="D12" s="174">
        <f>B12-F12</f>
        <v>-401099</v>
      </c>
      <c r="E12" s="175">
        <f>B12/F12-1</f>
        <v>-7.1182915347845044E-2</v>
      </c>
      <c r="F12" s="192">
        <v>5634765</v>
      </c>
      <c r="G12" s="176">
        <f>F12/F5</f>
        <v>0.195568439122802</v>
      </c>
      <c r="H12" s="172">
        <v>7250272</v>
      </c>
      <c r="I12" s="176">
        <f>H12/H5</f>
        <v>0.18777883787545099</v>
      </c>
      <c r="J12" s="96"/>
    </row>
    <row r="13" spans="1:10" ht="14.25" x14ac:dyDescent="0.2">
      <c r="A13" s="179"/>
      <c r="B13" s="180"/>
      <c r="C13" s="173"/>
      <c r="D13" s="178"/>
      <c r="E13" s="176"/>
      <c r="F13" s="180"/>
      <c r="G13" s="176"/>
      <c r="H13" s="180"/>
      <c r="I13" s="176"/>
    </row>
    <row r="14" spans="1:10" ht="15" x14ac:dyDescent="0.25">
      <c r="A14" s="184" t="s">
        <v>101</v>
      </c>
      <c r="B14" s="193">
        <f>B9+B11-B12</f>
        <v>6966117</v>
      </c>
      <c r="C14" s="186">
        <f>B14/B5</f>
        <v>0.25966183174218271</v>
      </c>
      <c r="D14" s="187">
        <f>(C14-G14)*100</f>
        <v>0.34481272962147425</v>
      </c>
      <c r="E14" s="188">
        <f>B14/F14-1</f>
        <v>-5.6349075079134114E-2</v>
      </c>
      <c r="F14" s="193">
        <v>7382091</v>
      </c>
      <c r="G14" s="189">
        <f>F14/F5</f>
        <v>0.25621370444596797</v>
      </c>
      <c r="H14" s="193">
        <f>H9+H11-H12</f>
        <v>13682897</v>
      </c>
      <c r="I14" s="189">
        <f>H14/H5</f>
        <v>0.35438098011074548</v>
      </c>
    </row>
    <row r="15" spans="1:10" ht="14.25" x14ac:dyDescent="0.2">
      <c r="A15" s="190"/>
      <c r="B15" s="191"/>
      <c r="C15" s="173"/>
      <c r="D15" s="178"/>
      <c r="E15" s="176"/>
      <c r="F15" s="191"/>
      <c r="G15" s="176"/>
      <c r="H15" s="191"/>
      <c r="I15" s="176"/>
    </row>
    <row r="16" spans="1:10" ht="14.25" x14ac:dyDescent="0.2">
      <c r="A16" s="177" t="s">
        <v>102</v>
      </c>
      <c r="B16" s="172">
        <f>'CPTE RESULTAT 16-15'!G12</f>
        <v>529009</v>
      </c>
      <c r="C16" s="173">
        <f>B16/B5</f>
        <v>1.9718796848818408E-2</v>
      </c>
      <c r="D16" s="174">
        <f>B16-F16</f>
        <v>105833</v>
      </c>
      <c r="E16" s="175">
        <f>B16/F16-1</f>
        <v>0.25009216023593028</v>
      </c>
      <c r="F16" s="172">
        <v>423176</v>
      </c>
      <c r="G16" s="176">
        <f>F16/F5</f>
        <v>1.4687368469533488E-2</v>
      </c>
      <c r="H16" s="172">
        <v>503063</v>
      </c>
      <c r="I16" s="176">
        <f>H16/H5</f>
        <v>1.3029109186267495E-2</v>
      </c>
      <c r="J16" s="96"/>
    </row>
    <row r="17" spans="1:10" ht="14.25" x14ac:dyDescent="0.2">
      <c r="A17" s="177" t="s">
        <v>103</v>
      </c>
      <c r="B17" s="172">
        <f>'CPTE RESULTAT 16-15'!G10</f>
        <v>5120959</v>
      </c>
      <c r="C17" s="173">
        <f>B17/B5</f>
        <v>0.19088361481965008</v>
      </c>
      <c r="D17" s="174">
        <f>B17-F17</f>
        <v>-119712</v>
      </c>
      <c r="E17" s="175">
        <f>B17/F17-1</f>
        <v>-2.2842876417924374E-2</v>
      </c>
      <c r="F17" s="172">
        <v>5240671</v>
      </c>
      <c r="G17" s="176">
        <f>F17/F5</f>
        <v>0.18189043330576057</v>
      </c>
      <c r="H17" s="172">
        <v>9677324</v>
      </c>
      <c r="I17" s="176">
        <f>H17/H5</f>
        <v>0.25063841114708674</v>
      </c>
      <c r="J17" s="96"/>
    </row>
    <row r="18" spans="1:10" ht="14.25" x14ac:dyDescent="0.2">
      <c r="A18" s="177" t="s">
        <v>104</v>
      </c>
      <c r="B18" s="172">
        <v>60</v>
      </c>
      <c r="C18" s="173">
        <f>B18/B5</f>
        <v>2.2364984545236555E-6</v>
      </c>
      <c r="D18" s="178"/>
      <c r="E18" s="175">
        <f>B18/F18-1</f>
        <v>-0.75708502024291502</v>
      </c>
      <c r="F18" s="172">
        <v>247</v>
      </c>
      <c r="G18" s="176">
        <f>F18/F5</f>
        <v>8.5727451745249536E-6</v>
      </c>
      <c r="H18" s="172">
        <v>0</v>
      </c>
      <c r="I18" s="176">
        <f>H18/H5</f>
        <v>0</v>
      </c>
    </row>
    <row r="19" spans="1:10" ht="14.25" x14ac:dyDescent="0.2">
      <c r="A19" s="179"/>
      <c r="B19" s="180"/>
      <c r="C19" s="173"/>
      <c r="D19" s="178"/>
      <c r="E19" s="176"/>
      <c r="F19" s="180"/>
      <c r="G19" s="176"/>
      <c r="H19" s="180"/>
      <c r="I19" s="176"/>
    </row>
    <row r="20" spans="1:10" ht="15" x14ac:dyDescent="0.25">
      <c r="A20" s="184" t="s">
        <v>105</v>
      </c>
      <c r="B20" s="193">
        <f>B14-B16-B17+B18</f>
        <v>1316209</v>
      </c>
      <c r="C20" s="186">
        <f>B20/B5</f>
        <v>4.9061656572168766E-2</v>
      </c>
      <c r="D20" s="187">
        <f>(C20-G20)*100</f>
        <v>-1.0582818843679656</v>
      </c>
      <c r="E20" s="188">
        <f>B20/F20-1</f>
        <v>-0.23409025709183229</v>
      </c>
      <c r="F20" s="193">
        <v>1718491</v>
      </c>
      <c r="G20" s="189">
        <f>F20/F5</f>
        <v>5.9644475415848421E-2</v>
      </c>
      <c r="H20" s="193">
        <f>H14-H16-H17+H18</f>
        <v>3502510</v>
      </c>
      <c r="I20" s="189">
        <f>H20/H5</f>
        <v>9.0713459777391231E-2</v>
      </c>
    </row>
    <row r="21" spans="1:10" s="81" customFormat="1" ht="15" x14ac:dyDescent="0.25">
      <c r="A21" s="194"/>
      <c r="B21" s="195"/>
      <c r="C21" s="196"/>
      <c r="D21" s="197"/>
      <c r="E21" s="198"/>
      <c r="F21" s="195"/>
      <c r="G21" s="198"/>
      <c r="H21" s="195"/>
      <c r="I21" s="198"/>
    </row>
    <row r="22" spans="1:10" ht="14.25" x14ac:dyDescent="0.2">
      <c r="A22" s="177" t="s">
        <v>106</v>
      </c>
      <c r="B22" s="172">
        <v>353226</v>
      </c>
      <c r="C22" s="173">
        <f>B22/B5</f>
        <v>1.3166490051626211E-2</v>
      </c>
      <c r="D22" s="174">
        <f>B22-F22</f>
        <v>57583</v>
      </c>
      <c r="E22" s="175">
        <f>B22/F22-1</f>
        <v>0.1947720730746203</v>
      </c>
      <c r="F22" s="172">
        <v>295643</v>
      </c>
      <c r="G22" s="176">
        <f>F22/F5</f>
        <v>1.0261020654380892E-2</v>
      </c>
      <c r="H22" s="172">
        <v>468899</v>
      </c>
      <c r="I22" s="176">
        <f>H22/H5</f>
        <v>1.2144276697613704E-2</v>
      </c>
    </row>
    <row r="23" spans="1:10" ht="14.25" x14ac:dyDescent="0.2">
      <c r="A23" s="177" t="s">
        <v>107</v>
      </c>
      <c r="B23" s="172">
        <v>38193</v>
      </c>
      <c r="C23" s="173">
        <f>B23/B5</f>
        <v>1.4236430912270329E-3</v>
      </c>
      <c r="D23" s="174">
        <f>B23-F23</f>
        <v>-114444</v>
      </c>
      <c r="E23" s="175">
        <f>B23/F23-1</f>
        <v>-0.74977888716366281</v>
      </c>
      <c r="F23" s="172">
        <v>152637</v>
      </c>
      <c r="G23" s="176">
        <f>F23/F5</f>
        <v>5.2976441506233408E-3</v>
      </c>
      <c r="H23" s="172">
        <v>166748</v>
      </c>
      <c r="I23" s="176">
        <f>H23/H5</f>
        <v>4.3186994443871491E-3</v>
      </c>
    </row>
    <row r="24" spans="1:10" ht="15" x14ac:dyDescent="0.25">
      <c r="A24" s="171"/>
      <c r="B24" s="172"/>
      <c r="C24" s="173"/>
      <c r="D24" s="178"/>
      <c r="E24" s="176"/>
      <c r="F24" s="172"/>
      <c r="G24" s="176"/>
      <c r="H24" s="172"/>
      <c r="I24" s="176"/>
    </row>
    <row r="25" spans="1:10" ht="15" x14ac:dyDescent="0.25">
      <c r="A25" s="184" t="s">
        <v>108</v>
      </c>
      <c r="B25" s="193">
        <f>B20-B22+B23</f>
        <v>1001176</v>
      </c>
      <c r="C25" s="186">
        <f>B25/B5</f>
        <v>3.7318809611769588E-2</v>
      </c>
      <c r="D25" s="187">
        <f>(C25-G25)*100</f>
        <v>-1.7362289300321285</v>
      </c>
      <c r="E25" s="188">
        <f>B25/F25-1</f>
        <v>-0.36452838332323068</v>
      </c>
      <c r="F25" s="193">
        <v>1575485</v>
      </c>
      <c r="G25" s="189">
        <f>F25/F5</f>
        <v>5.4681098912090872E-2</v>
      </c>
      <c r="H25" s="193">
        <f>H20-H22+H23</f>
        <v>3200359</v>
      </c>
      <c r="I25" s="189">
        <f>H25/H5</f>
        <v>8.288788252416468E-2</v>
      </c>
    </row>
    <row r="26" spans="1:10" ht="14.25" x14ac:dyDescent="0.2">
      <c r="A26" s="177"/>
      <c r="B26" s="172"/>
      <c r="C26" s="173"/>
      <c r="D26" s="178"/>
      <c r="E26" s="176"/>
      <c r="F26" s="172"/>
      <c r="G26" s="176"/>
      <c r="H26" s="172"/>
      <c r="I26" s="176"/>
    </row>
    <row r="27" spans="1:10" ht="14.25" x14ac:dyDescent="0.2">
      <c r="A27" s="177" t="s">
        <v>109</v>
      </c>
      <c r="B27" s="192">
        <f>'CPTE RESULTAT 16-15'!G18</f>
        <v>-208906</v>
      </c>
      <c r="C27" s="173">
        <f>B27/B5</f>
        <v>-7.7869657690119798E-3</v>
      </c>
      <c r="D27" s="174">
        <f>B27-F27</f>
        <v>-1103</v>
      </c>
      <c r="E27" s="175">
        <f>B27/F27-1</f>
        <v>5.3079118203298581E-3</v>
      </c>
      <c r="F27" s="192">
        <v>-207803</v>
      </c>
      <c r="G27" s="176">
        <f>F27/F5</f>
        <v>-7.2123164595214928E-3</v>
      </c>
      <c r="H27" s="192">
        <v>-350378</v>
      </c>
      <c r="I27" s="176">
        <f>H27/H5</f>
        <v>-9.0746352215647589E-3</v>
      </c>
      <c r="J27" s="96"/>
    </row>
    <row r="28" spans="1:10" ht="14.25" x14ac:dyDescent="0.2">
      <c r="A28" s="177"/>
      <c r="B28" s="172"/>
      <c r="C28" s="173"/>
      <c r="D28" s="178"/>
      <c r="E28" s="176"/>
      <c r="F28" s="172"/>
      <c r="G28" s="176"/>
      <c r="H28" s="172"/>
      <c r="I28" s="176"/>
    </row>
    <row r="29" spans="1:10" ht="15" x14ac:dyDescent="0.25">
      <c r="A29" s="184" t="s">
        <v>110</v>
      </c>
      <c r="B29" s="193">
        <f>B25+B27</f>
        <v>792270</v>
      </c>
      <c r="C29" s="186">
        <f>B29/B5</f>
        <v>2.9531843842757609E-2</v>
      </c>
      <c r="D29" s="187">
        <f>(C29-G29)*100</f>
        <v>-1.793693860981177</v>
      </c>
      <c r="E29" s="188">
        <f>B29/F29-1</f>
        <v>-0.42072060610580531</v>
      </c>
      <c r="F29" s="193">
        <v>1367682</v>
      </c>
      <c r="G29" s="189">
        <f>F29/F5</f>
        <v>4.7468782452569379E-2</v>
      </c>
      <c r="H29" s="193">
        <f>H25+H27</f>
        <v>2849981</v>
      </c>
      <c r="I29" s="189">
        <f>H29/H5</f>
        <v>7.3813247302599916E-2</v>
      </c>
    </row>
    <row r="30" spans="1:10" ht="14.25" x14ac:dyDescent="0.2">
      <c r="A30" s="177"/>
      <c r="B30" s="172"/>
      <c r="C30" s="173"/>
      <c r="D30" s="178"/>
      <c r="E30" s="176"/>
      <c r="F30" s="172"/>
      <c r="G30" s="176"/>
      <c r="H30" s="172"/>
      <c r="I30" s="176"/>
    </row>
    <row r="31" spans="1:10" ht="14.25" x14ac:dyDescent="0.2">
      <c r="A31" s="177" t="s">
        <v>111</v>
      </c>
      <c r="B31" s="192">
        <f>'CPTE RESULTAT 16-15'!G24</f>
        <v>-60641</v>
      </c>
      <c r="C31" s="173">
        <f>B31/B5</f>
        <v>-2.2603917130128164E-3</v>
      </c>
      <c r="D31" s="174">
        <f>B31-F31</f>
        <v>59230</v>
      </c>
      <c r="E31" s="175">
        <f>B31/F31-1</f>
        <v>-0.49411450642774313</v>
      </c>
      <c r="F31" s="192">
        <v>-119871</v>
      </c>
      <c r="G31" s="176">
        <f>F31/F5</f>
        <v>-4.1604191773906094E-3</v>
      </c>
      <c r="H31" s="172">
        <v>65004</v>
      </c>
      <c r="I31" s="176">
        <f>H31/H5</f>
        <v>1.6835748475720381E-3</v>
      </c>
    </row>
    <row r="32" spans="1:10" ht="14.25" x14ac:dyDescent="0.2">
      <c r="A32" s="177" t="s">
        <v>112</v>
      </c>
      <c r="B32" s="172"/>
      <c r="C32" s="173">
        <f>B32/B5</f>
        <v>0</v>
      </c>
      <c r="D32" s="178"/>
      <c r="E32" s="175"/>
      <c r="F32" s="172"/>
      <c r="G32" s="176">
        <f>F32/F5</f>
        <v>0</v>
      </c>
      <c r="H32" s="172"/>
      <c r="I32" s="176">
        <f>H32/H5</f>
        <v>0</v>
      </c>
    </row>
    <row r="33" spans="1:9" ht="14.25" x14ac:dyDescent="0.2">
      <c r="A33" s="177" t="s">
        <v>113</v>
      </c>
      <c r="B33" s="199">
        <v>575187</v>
      </c>
      <c r="C33" s="173">
        <f>B33/B5</f>
        <v>2.1440080609368296E-2</v>
      </c>
      <c r="D33" s="174">
        <f>B33-F33</f>
        <v>167348</v>
      </c>
      <c r="E33" s="175">
        <f>B33/F33-1</f>
        <v>0.41032858554478602</v>
      </c>
      <c r="F33" s="199">
        <v>407839</v>
      </c>
      <c r="G33" s="176">
        <f>F33/F5</f>
        <v>1.4155059996895069E-2</v>
      </c>
      <c r="H33" s="172">
        <v>962231</v>
      </c>
      <c r="I33" s="176">
        <f>H33/H5</f>
        <v>2.4921357288075964E-2</v>
      </c>
    </row>
    <row r="34" spans="1:9" ht="14.25" x14ac:dyDescent="0.2">
      <c r="A34" s="177" t="s">
        <v>114</v>
      </c>
      <c r="B34" s="172">
        <v>147221</v>
      </c>
      <c r="C34" s="173">
        <f>B34/B5</f>
        <v>5.4876589828904516E-3</v>
      </c>
      <c r="D34" s="174">
        <f>B34-F34</f>
        <v>157863</v>
      </c>
      <c r="E34" s="175">
        <f>B34/F34-1</f>
        <v>-14.833959781995866</v>
      </c>
      <c r="F34" s="172">
        <v>-10642</v>
      </c>
      <c r="G34" s="176">
        <f>F34/F5</f>
        <v>-3.6935689938175933E-4</v>
      </c>
      <c r="H34" s="172">
        <v>20391</v>
      </c>
      <c r="I34" s="176">
        <f>H34/H5</f>
        <v>5.2811788069720986E-4</v>
      </c>
    </row>
    <row r="35" spans="1:9" ht="14.25" x14ac:dyDescent="0.2">
      <c r="A35" s="177"/>
      <c r="B35" s="172"/>
      <c r="C35" s="173"/>
      <c r="D35" s="178"/>
      <c r="E35" s="176"/>
      <c r="F35" s="172"/>
      <c r="G35" s="176"/>
      <c r="H35" s="172"/>
      <c r="I35" s="176"/>
    </row>
    <row r="36" spans="1:9" ht="15" x14ac:dyDescent="0.25">
      <c r="A36" s="184" t="s">
        <v>116</v>
      </c>
      <c r="B36" s="193">
        <f>B29+B31-B32-B33+B34</f>
        <v>303663</v>
      </c>
      <c r="C36" s="186">
        <f>B36/B5</f>
        <v>1.1319030503266946E-2</v>
      </c>
      <c r="D36" s="187">
        <f>(C36-G36)*100</f>
        <v>-1.7464915875634992</v>
      </c>
      <c r="E36" s="188">
        <f>B36/F36-1</f>
        <v>-0.63384539326926559</v>
      </c>
      <c r="F36" s="193">
        <v>829330</v>
      </c>
      <c r="G36" s="189">
        <f>F36/F5</f>
        <v>2.8783946378901939E-2</v>
      </c>
      <c r="H36" s="193">
        <f>H29+H31-H32-H33+H34</f>
        <v>1973145</v>
      </c>
      <c r="I36" s="189">
        <f>H36/H5</f>
        <v>5.1103582742793204E-2</v>
      </c>
    </row>
    <row r="37" spans="1:9" s="81" customFormat="1" ht="15" x14ac:dyDescent="0.25">
      <c r="A37" s="194"/>
      <c r="B37" s="195"/>
      <c r="C37" s="196"/>
      <c r="D37" s="197"/>
      <c r="E37" s="198"/>
      <c r="F37" s="195"/>
      <c r="G37" s="198"/>
      <c r="H37" s="195"/>
      <c r="I37" s="198"/>
    </row>
    <row r="38" spans="1:9" s="97" customFormat="1" ht="14.25" x14ac:dyDescent="0.2">
      <c r="A38" s="177" t="s">
        <v>118</v>
      </c>
      <c r="B38" s="200">
        <v>74000</v>
      </c>
      <c r="C38" s="173">
        <f>B38/B5</f>
        <v>2.7583480939125083E-3</v>
      </c>
      <c r="D38" s="174">
        <f>B38-F38</f>
        <v>221635</v>
      </c>
      <c r="E38" s="175">
        <f>B38/F38-1</f>
        <v>-1.5012361567379009</v>
      </c>
      <c r="F38" s="200">
        <v>-147635</v>
      </c>
      <c r="G38" s="176">
        <f>F38/F5</f>
        <v>-5.124037383971625E-3</v>
      </c>
      <c r="H38" s="200">
        <v>-653207</v>
      </c>
      <c r="I38" s="176">
        <f>H38/H5</f>
        <v>-1.6917772374899828E-2</v>
      </c>
    </row>
    <row r="39" spans="1:9" ht="14.25" x14ac:dyDescent="0.2">
      <c r="A39" s="177"/>
      <c r="B39" s="172"/>
      <c r="C39" s="173"/>
      <c r="D39" s="178"/>
      <c r="E39" s="176"/>
      <c r="F39" s="172"/>
      <c r="G39" s="176"/>
      <c r="H39" s="172"/>
      <c r="I39" s="176"/>
    </row>
    <row r="40" spans="1:9" ht="15" x14ac:dyDescent="0.25">
      <c r="A40" s="184" t="s">
        <v>119</v>
      </c>
      <c r="B40" s="193">
        <f>B36+B38</f>
        <v>377663</v>
      </c>
      <c r="C40" s="186">
        <f>B40/B5</f>
        <v>1.4077378597179455E-2</v>
      </c>
      <c r="D40" s="187">
        <f>(C40-G40)*100</f>
        <v>-0.95825303977508602</v>
      </c>
      <c r="E40" s="188">
        <f>B40/F40-1</f>
        <v>-0.44599417628118143</v>
      </c>
      <c r="F40" s="193">
        <v>681695</v>
      </c>
      <c r="G40" s="189">
        <f>F40/F5</f>
        <v>2.3659908994930316E-2</v>
      </c>
      <c r="H40" s="193">
        <f>H36+H38</f>
        <v>1319938</v>
      </c>
      <c r="I40" s="189">
        <f>H40/H5</f>
        <v>3.4185810367893373E-2</v>
      </c>
    </row>
    <row r="43" spans="1:9" s="33" customFormat="1" ht="15" x14ac:dyDescent="0.25">
      <c r="A43" s="98"/>
      <c r="B43" s="99"/>
      <c r="F43" s="99"/>
      <c r="H43" s="99">
        <f>H36+H22-H23-H34</f>
        <v>2254905</v>
      </c>
    </row>
    <row r="44" spans="1:9" ht="14.25" x14ac:dyDescent="0.2">
      <c r="A44" s="100"/>
      <c r="B44" s="101"/>
      <c r="H44" s="101"/>
    </row>
    <row r="45" spans="1:9" ht="14.25" x14ac:dyDescent="0.2">
      <c r="A45" s="100"/>
      <c r="B45" s="101"/>
      <c r="H45" s="101"/>
    </row>
    <row r="46" spans="1:9" ht="14.25" x14ac:dyDescent="0.2">
      <c r="A46" s="100"/>
      <c r="B46" s="101"/>
      <c r="H46" s="101"/>
    </row>
    <row r="47" spans="1:9" ht="14.25" x14ac:dyDescent="0.2">
      <c r="A47" s="100"/>
      <c r="B47" s="101"/>
      <c r="H47" s="101"/>
    </row>
    <row r="48" spans="1:9" ht="15" x14ac:dyDescent="0.25">
      <c r="A48" s="100"/>
      <c r="B48" s="102"/>
      <c r="H48" s="102"/>
    </row>
    <row r="49" spans="1:1" x14ac:dyDescent="0.2">
      <c r="A49" s="13"/>
    </row>
    <row r="50" spans="1:1" x14ac:dyDescent="0.2">
      <c r="A50" s="13"/>
    </row>
  </sheetData>
  <conditionalFormatting sqref="D9 D14 D20 D25 D29 D36 D40">
    <cfRule type="cellIs" dxfId="0" priority="1" stopIfTrue="1" operator="lessThan">
      <formula>0</formula>
    </cfRule>
  </conditionalFormatting>
  <pageMargins left="0.17" right="0.17" top="0.61" bottom="0.3" header="0.27" footer="0.23"/>
  <pageSetup paperSize="9" scale="80" orientation="portrait" horizont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showZeros="0" zoomScale="75" workbookViewId="0">
      <selection activeCell="G1" sqref="G1:H65536"/>
    </sheetView>
  </sheetViews>
  <sheetFormatPr baseColWidth="10" defaultRowHeight="12.75" x14ac:dyDescent="0.2"/>
  <cols>
    <col min="1" max="1" width="49.140625" customWidth="1"/>
    <col min="2" max="2" width="13.7109375" style="50" customWidth="1"/>
    <col min="3" max="4" width="11.5703125" bestFit="1" customWidth="1"/>
    <col min="5" max="5" width="13.7109375" customWidth="1"/>
    <col min="6" max="6" width="11.5703125" customWidth="1"/>
  </cols>
  <sheetData>
    <row r="1" spans="1:6" s="82" customFormat="1" ht="39.75" customHeight="1" thickBot="1" x14ac:dyDescent="0.25">
      <c r="A1" s="153" t="s">
        <v>143</v>
      </c>
      <c r="B1" s="154"/>
      <c r="C1" s="155"/>
      <c r="D1" s="155"/>
      <c r="E1" s="155"/>
      <c r="F1" s="156"/>
    </row>
    <row r="2" spans="1:6" ht="18" x14ac:dyDescent="0.2">
      <c r="A2" s="157"/>
      <c r="B2" s="158"/>
      <c r="C2" s="159"/>
      <c r="D2" s="159"/>
      <c r="E2" s="159"/>
      <c r="F2" s="160"/>
    </row>
    <row r="3" spans="1:6" s="82" customFormat="1" ht="30" x14ac:dyDescent="0.2">
      <c r="A3" s="161"/>
      <c r="B3" s="162">
        <v>41820</v>
      </c>
      <c r="C3" s="163" t="s">
        <v>91</v>
      </c>
      <c r="D3" s="165" t="s">
        <v>39</v>
      </c>
      <c r="E3" s="162">
        <v>41455</v>
      </c>
      <c r="F3" s="165" t="s">
        <v>91</v>
      </c>
    </row>
    <row r="4" spans="1:6" ht="15" customHeight="1" x14ac:dyDescent="0.25">
      <c r="A4" s="166"/>
      <c r="B4" s="167"/>
      <c r="C4" s="168"/>
      <c r="D4" s="166"/>
      <c r="E4" s="170"/>
      <c r="F4" s="166"/>
    </row>
    <row r="5" spans="1:6" ht="15" x14ac:dyDescent="0.25">
      <c r="A5" s="171" t="s">
        <v>145</v>
      </c>
      <c r="B5" s="172">
        <v>28221077</v>
      </c>
      <c r="C5" s="173">
        <f>B5/B5</f>
        <v>1</v>
      </c>
      <c r="D5" s="175">
        <f>B5/E5-1</f>
        <v>7.7966386684941824E-2</v>
      </c>
      <c r="E5" s="172">
        <v>26179923</v>
      </c>
      <c r="F5" s="176">
        <f>E5/E5</f>
        <v>1</v>
      </c>
    </row>
    <row r="6" spans="1:6" ht="14.25" x14ac:dyDescent="0.2">
      <c r="A6" s="177"/>
      <c r="B6" s="172"/>
      <c r="C6" s="173"/>
      <c r="D6" s="176"/>
      <c r="E6" s="172"/>
      <c r="F6" s="176">
        <f>E6/E5</f>
        <v>0</v>
      </c>
    </row>
    <row r="7" spans="1:6" ht="15" x14ac:dyDescent="0.25">
      <c r="A7" s="171" t="s">
        <v>94</v>
      </c>
      <c r="B7" s="172">
        <v>14339710</v>
      </c>
      <c r="C7" s="173">
        <f>B7/B5</f>
        <v>0.50812057952288636</v>
      </c>
      <c r="D7" s="175">
        <f>B7/E7-1</f>
        <v>6.0660896820978305E-2</v>
      </c>
      <c r="E7" s="172">
        <v>13519599</v>
      </c>
      <c r="F7" s="176">
        <f>E7/E5</f>
        <v>0.5164109535387098</v>
      </c>
    </row>
    <row r="8" spans="1:6" ht="14.25" x14ac:dyDescent="0.2">
      <c r="A8" s="179"/>
      <c r="B8" s="180"/>
      <c r="C8" s="181"/>
      <c r="D8" s="183"/>
      <c r="E8" s="206"/>
      <c r="F8" s="183"/>
    </row>
    <row r="9" spans="1:6" ht="15" x14ac:dyDescent="0.25">
      <c r="A9" s="184" t="s">
        <v>146</v>
      </c>
      <c r="B9" s="185">
        <f>B5-B7</f>
        <v>13881367</v>
      </c>
      <c r="C9" s="186">
        <f>B9/B5</f>
        <v>0.49187942047711364</v>
      </c>
      <c r="D9" s="188">
        <f>B9/E9-1</f>
        <v>9.6446425857663609E-2</v>
      </c>
      <c r="E9" s="207">
        <f>E5-E7</f>
        <v>12660324</v>
      </c>
      <c r="F9" s="189">
        <f>E9/E5</f>
        <v>0.4835890464612902</v>
      </c>
    </row>
    <row r="10" spans="1:6" ht="14.25" x14ac:dyDescent="0.2">
      <c r="A10" s="190"/>
      <c r="B10" s="191"/>
      <c r="C10" s="173"/>
      <c r="D10" s="176"/>
      <c r="E10" s="208"/>
      <c r="F10" s="176"/>
    </row>
    <row r="11" spans="1:6" ht="14.25" x14ac:dyDescent="0.2">
      <c r="A11" s="177" t="s">
        <v>99</v>
      </c>
      <c r="B11" s="192">
        <v>152545</v>
      </c>
      <c r="C11" s="173">
        <f>B11/B5</f>
        <v>5.4053571378583458E-3</v>
      </c>
      <c r="D11" s="175">
        <f>B11/E11-1</f>
        <v>-0.10394149436090228</v>
      </c>
      <c r="E11" s="192">
        <v>170240</v>
      </c>
      <c r="F11" s="176">
        <f>E11/E5</f>
        <v>6.5026929223588629E-3</v>
      </c>
    </row>
    <row r="12" spans="1:6" ht="14.25" x14ac:dyDescent="0.2">
      <c r="A12" s="177" t="s">
        <v>100</v>
      </c>
      <c r="B12" s="192">
        <f>5566414-27614*2</f>
        <v>5511186</v>
      </c>
      <c r="C12" s="173">
        <f>B12/B5</f>
        <v>0.19528616856117859</v>
      </c>
      <c r="D12" s="175">
        <f>B12/E12-1</f>
        <v>0.17139171560053645</v>
      </c>
      <c r="E12" s="192">
        <v>4704819</v>
      </c>
      <c r="F12" s="176">
        <f>E12/E5</f>
        <v>0.17971095636912301</v>
      </c>
    </row>
    <row r="13" spans="1:6" ht="14.25" x14ac:dyDescent="0.2">
      <c r="A13" s="179"/>
      <c r="B13" s="180"/>
      <c r="C13" s="173"/>
      <c r="D13" s="176"/>
      <c r="E13" s="206"/>
      <c r="F13" s="176"/>
    </row>
    <row r="14" spans="1:6" ht="15" x14ac:dyDescent="0.25">
      <c r="A14" s="184" t="s">
        <v>101</v>
      </c>
      <c r="B14" s="193">
        <f>B9+B11-B12</f>
        <v>8522726</v>
      </c>
      <c r="C14" s="186">
        <f>B14/B5</f>
        <v>0.30199860905379339</v>
      </c>
      <c r="D14" s="188">
        <f>B14/E14-1</f>
        <v>4.8854720397945028E-2</v>
      </c>
      <c r="E14" s="209">
        <f>E9+E11-E12</f>
        <v>8125745</v>
      </c>
      <c r="F14" s="189">
        <f>E14/E5</f>
        <v>0.31038078301452604</v>
      </c>
    </row>
    <row r="15" spans="1:6" ht="14.25" x14ac:dyDescent="0.2">
      <c r="A15" s="190"/>
      <c r="B15" s="191"/>
      <c r="C15" s="173"/>
      <c r="D15" s="176"/>
      <c r="E15" s="208"/>
      <c r="F15" s="176"/>
    </row>
    <row r="16" spans="1:6" ht="14.25" x14ac:dyDescent="0.2">
      <c r="A16" s="177" t="s">
        <v>102</v>
      </c>
      <c r="B16" s="172">
        <v>581766</v>
      </c>
      <c r="C16" s="173">
        <f>B16/B5</f>
        <v>2.0614592419701063E-2</v>
      </c>
      <c r="D16" s="175">
        <f>B16/E16-1</f>
        <v>0.11836353360477059</v>
      </c>
      <c r="E16" s="172">
        <v>520194</v>
      </c>
      <c r="F16" s="176">
        <f>E16/E5</f>
        <v>1.9869959128604005E-2</v>
      </c>
    </row>
    <row r="17" spans="1:6" ht="14.25" x14ac:dyDescent="0.2">
      <c r="A17" s="177" t="s">
        <v>103</v>
      </c>
      <c r="B17" s="172">
        <v>5962671</v>
      </c>
      <c r="C17" s="173">
        <f>B17/B5</f>
        <v>0.21128431774591735</v>
      </c>
      <c r="D17" s="175">
        <f>B17/E17-1</f>
        <v>-4.3928329310865655E-2</v>
      </c>
      <c r="E17" s="172">
        <v>6236636</v>
      </c>
      <c r="F17" s="176">
        <f>E17/E5</f>
        <v>0.23822209102754047</v>
      </c>
    </row>
    <row r="18" spans="1:6" ht="14.25" x14ac:dyDescent="0.2">
      <c r="A18" s="177" t="s">
        <v>104</v>
      </c>
      <c r="B18" s="172">
        <v>3782</v>
      </c>
      <c r="C18" s="173">
        <f>B18/B5</f>
        <v>1.3401331210711768E-4</v>
      </c>
      <c r="D18" s="175">
        <f>B18/E18-1</f>
        <v>13.059479553903346</v>
      </c>
      <c r="E18" s="172">
        <v>269</v>
      </c>
      <c r="F18" s="176">
        <f>E18/E5</f>
        <v>1.0275049319281802E-5</v>
      </c>
    </row>
    <row r="19" spans="1:6" ht="14.25" x14ac:dyDescent="0.2">
      <c r="A19" s="179"/>
      <c r="B19" s="180"/>
      <c r="C19" s="173"/>
      <c r="D19" s="176"/>
      <c r="E19" s="206"/>
      <c r="F19" s="176"/>
    </row>
    <row r="20" spans="1:6" ht="15" x14ac:dyDescent="0.25">
      <c r="A20" s="184" t="s">
        <v>105</v>
      </c>
      <c r="B20" s="193">
        <f>B14-B16-B17+B18</f>
        <v>1982071</v>
      </c>
      <c r="C20" s="186">
        <f>B20/B5</f>
        <v>7.0233712200282086E-2</v>
      </c>
      <c r="D20" s="188">
        <f>B20/E20-1</f>
        <v>0.44762939093649945</v>
      </c>
      <c r="E20" s="209">
        <f>E14-E16-E17+E18</f>
        <v>1369184</v>
      </c>
      <c r="F20" s="189">
        <f>E20/E5</f>
        <v>5.2299007907700874E-2</v>
      </c>
    </row>
    <row r="21" spans="1:6" s="81" customFormat="1" ht="15" x14ac:dyDescent="0.25">
      <c r="A21" s="194"/>
      <c r="B21" s="195"/>
      <c r="C21" s="196"/>
      <c r="D21" s="198"/>
      <c r="E21" s="210"/>
      <c r="F21" s="198"/>
    </row>
    <row r="22" spans="1:6" ht="14.25" x14ac:dyDescent="0.2">
      <c r="A22" s="177" t="s">
        <v>106</v>
      </c>
      <c r="B22" s="172">
        <v>451671</v>
      </c>
      <c r="C22" s="173">
        <f>B22/B5</f>
        <v>1.6004740003366987E-2</v>
      </c>
      <c r="D22" s="175">
        <f>B22/E22-1</f>
        <v>0.38910297613738765</v>
      </c>
      <c r="E22" s="172">
        <v>325153</v>
      </c>
      <c r="F22" s="176">
        <f>E22/E5</f>
        <v>1.2419937216774854E-2</v>
      </c>
    </row>
    <row r="23" spans="1:6" ht="14.25" x14ac:dyDescent="0.2">
      <c r="A23" s="177" t="s">
        <v>107</v>
      </c>
      <c r="B23" s="172">
        <v>360471</v>
      </c>
      <c r="C23" s="173">
        <f>B23/B5</f>
        <v>1.2773112805014494E-2</v>
      </c>
      <c r="D23" s="175">
        <f>B23/E23-1</f>
        <v>0.7388772847212508</v>
      </c>
      <c r="E23" s="172">
        <v>207301</v>
      </c>
      <c r="F23" s="176">
        <f>E23/E5</f>
        <v>7.9183196986484638E-3</v>
      </c>
    </row>
    <row r="24" spans="1:6" ht="15" x14ac:dyDescent="0.25">
      <c r="A24" s="171"/>
      <c r="B24" s="172"/>
      <c r="C24" s="173"/>
      <c r="D24" s="176"/>
      <c r="E24" s="211"/>
      <c r="F24" s="176"/>
    </row>
    <row r="25" spans="1:6" ht="15" x14ac:dyDescent="0.25">
      <c r="A25" s="184" t="s">
        <v>108</v>
      </c>
      <c r="B25" s="193">
        <f>B20-B22+B23</f>
        <v>1890871</v>
      </c>
      <c r="C25" s="186">
        <f>B25/B5</f>
        <v>6.7002085001929584E-2</v>
      </c>
      <c r="D25" s="188">
        <f>B25/E25-1</f>
        <v>0.51108658613381586</v>
      </c>
      <c r="E25" s="209">
        <f>E20-E22+E23</f>
        <v>1251332</v>
      </c>
      <c r="F25" s="189">
        <f>E25/E5</f>
        <v>4.7797390389574486E-2</v>
      </c>
    </row>
    <row r="26" spans="1:6" ht="14.25" x14ac:dyDescent="0.2">
      <c r="A26" s="177"/>
      <c r="B26" s="172"/>
      <c r="C26" s="173"/>
      <c r="D26" s="176"/>
      <c r="E26" s="211"/>
      <c r="F26" s="176"/>
    </row>
    <row r="27" spans="1:6" ht="14.25" x14ac:dyDescent="0.2">
      <c r="A27" s="177" t="s">
        <v>109</v>
      </c>
      <c r="B27" s="192">
        <v>-81084</v>
      </c>
      <c r="C27" s="173">
        <f>B27/B5</f>
        <v>-2.8731717077983949E-3</v>
      </c>
      <c r="D27" s="175">
        <f>B27/E27-1</f>
        <v>-0.4042102942797311</v>
      </c>
      <c r="E27" s="192">
        <v>-136095</v>
      </c>
      <c r="F27" s="176">
        <f>E27/E5</f>
        <v>-5.19844920857865E-3</v>
      </c>
    </row>
    <row r="28" spans="1:6" ht="14.25" x14ac:dyDescent="0.2">
      <c r="A28" s="177"/>
      <c r="B28" s="172"/>
      <c r="C28" s="173"/>
      <c r="D28" s="176"/>
      <c r="E28" s="211"/>
      <c r="F28" s="176"/>
    </row>
    <row r="29" spans="1:6" ht="15" x14ac:dyDescent="0.25">
      <c r="A29" s="184" t="s">
        <v>110</v>
      </c>
      <c r="B29" s="193">
        <f>B25+B27</f>
        <v>1809787</v>
      </c>
      <c r="C29" s="186">
        <f>B29/B5</f>
        <v>6.4128913294131187E-2</v>
      </c>
      <c r="D29" s="188">
        <f>B29/E29-1</f>
        <v>0.62278242203226752</v>
      </c>
      <c r="E29" s="209">
        <f>E25+E27</f>
        <v>1115237</v>
      </c>
      <c r="F29" s="189">
        <f>E29/E5</f>
        <v>4.2598941180995831E-2</v>
      </c>
    </row>
    <row r="30" spans="1:6" ht="14.25" x14ac:dyDescent="0.2">
      <c r="A30" s="177"/>
      <c r="B30" s="172"/>
      <c r="C30" s="173"/>
      <c r="D30" s="176"/>
      <c r="E30" s="211"/>
      <c r="F30" s="176"/>
    </row>
    <row r="31" spans="1:6" ht="14.25" x14ac:dyDescent="0.2">
      <c r="A31" s="177" t="s">
        <v>111</v>
      </c>
      <c r="B31" s="192">
        <v>-5325</v>
      </c>
      <c r="C31" s="173">
        <f>B31/B5</f>
        <v>-1.8868875911433146E-4</v>
      </c>
      <c r="D31" s="175">
        <f>B31/E31-1</f>
        <v>-1.1256459262405323</v>
      </c>
      <c r="E31" s="192">
        <v>42381</v>
      </c>
      <c r="F31" s="176">
        <f>E31/E5</f>
        <v>1.6188359301133161E-3</v>
      </c>
    </row>
    <row r="32" spans="1:6" ht="14.25" x14ac:dyDescent="0.2">
      <c r="A32" s="177" t="s">
        <v>112</v>
      </c>
      <c r="B32" s="172"/>
      <c r="C32" s="173">
        <f>B32/B5</f>
        <v>0</v>
      </c>
      <c r="D32" s="175"/>
      <c r="E32" s="172"/>
      <c r="F32" s="176">
        <f>E32/E5</f>
        <v>0</v>
      </c>
    </row>
    <row r="33" spans="1:6" ht="14.25" x14ac:dyDescent="0.2">
      <c r="A33" s="177" t="s">
        <v>113</v>
      </c>
      <c r="B33" s="199">
        <v>473326</v>
      </c>
      <c r="C33" s="173">
        <f>B33/B5</f>
        <v>1.6772074290431933E-2</v>
      </c>
      <c r="D33" s="175">
        <f>B33/E33-1</f>
        <v>0.44506284594271972</v>
      </c>
      <c r="E33" s="172">
        <v>327547</v>
      </c>
      <c r="F33" s="176">
        <f>E33/E5</f>
        <v>1.2511381335995527E-2</v>
      </c>
    </row>
    <row r="34" spans="1:6" ht="14.25" x14ac:dyDescent="0.2">
      <c r="A34" s="177" t="s">
        <v>114</v>
      </c>
      <c r="B34" s="172">
        <v>-180183</v>
      </c>
      <c r="C34" s="173">
        <f>B34/B5</f>
        <v>-6.3846960907976685E-3</v>
      </c>
      <c r="D34" s="175">
        <f>B34/E34-1</f>
        <v>1.5924119475138121</v>
      </c>
      <c r="E34" s="172">
        <v>-69504</v>
      </c>
      <c r="F34" s="176">
        <f>E34/E5</f>
        <v>-2.6548588397299717E-3</v>
      </c>
    </row>
    <row r="35" spans="1:6" ht="14.25" x14ac:dyDescent="0.2">
      <c r="A35" s="177"/>
      <c r="B35" s="172"/>
      <c r="C35" s="173"/>
      <c r="D35" s="176"/>
      <c r="E35" s="211"/>
      <c r="F35" s="176"/>
    </row>
    <row r="36" spans="1:6" ht="15" x14ac:dyDescent="0.25">
      <c r="A36" s="184" t="s">
        <v>116</v>
      </c>
      <c r="B36" s="193">
        <f>B29+B31-B32-B33+B34</f>
        <v>1150953</v>
      </c>
      <c r="C36" s="186">
        <f>B36/B5</f>
        <v>4.0783454153787257E-2</v>
      </c>
      <c r="D36" s="188">
        <f>B36/E36-1</f>
        <v>0.51328285345012348</v>
      </c>
      <c r="E36" s="209">
        <f>E29+E31-E32-E33+E34</f>
        <v>760567</v>
      </c>
      <c r="F36" s="189">
        <f>E36/E5</f>
        <v>2.9051536935383652E-2</v>
      </c>
    </row>
    <row r="37" spans="1:6" s="81" customFormat="1" ht="15" x14ac:dyDescent="0.25">
      <c r="A37" s="194"/>
      <c r="B37" s="195"/>
      <c r="C37" s="196"/>
      <c r="D37" s="198"/>
      <c r="E37" s="210"/>
      <c r="F37" s="198"/>
    </row>
    <row r="38" spans="1:6" s="97" customFormat="1" ht="14.25" x14ac:dyDescent="0.2">
      <c r="A38" s="177" t="s">
        <v>118</v>
      </c>
      <c r="B38" s="200">
        <v>-1339509</v>
      </c>
      <c r="C38" s="173">
        <f>B38/B5</f>
        <v>-4.7464843386381038E-2</v>
      </c>
      <c r="D38" s="175">
        <f>B38/E38-1</f>
        <v>2.9454183971017054</v>
      </c>
      <c r="E38" s="200">
        <v>-339510</v>
      </c>
      <c r="F38" s="176">
        <f>E38/E5</f>
        <v>-1.2968334551633326E-2</v>
      </c>
    </row>
    <row r="39" spans="1:6" ht="14.25" x14ac:dyDescent="0.2">
      <c r="A39" s="177"/>
      <c r="B39" s="172"/>
      <c r="C39" s="173"/>
      <c r="D39" s="176"/>
      <c r="E39" s="211"/>
      <c r="F39" s="176"/>
    </row>
    <row r="40" spans="1:6" ht="15" x14ac:dyDescent="0.25">
      <c r="A40" s="184" t="s">
        <v>119</v>
      </c>
      <c r="B40" s="193">
        <f>B36+B38</f>
        <v>-188556</v>
      </c>
      <c r="C40" s="186">
        <f>B40/B5</f>
        <v>-6.6813892325937813E-3</v>
      </c>
      <c r="D40" s="188">
        <f>B40/E40-1</f>
        <v>-1.4478158539105157</v>
      </c>
      <c r="E40" s="209">
        <f>E36+E38</f>
        <v>421057</v>
      </c>
      <c r="F40" s="189">
        <f>E40/E5</f>
        <v>1.6083202383750328E-2</v>
      </c>
    </row>
    <row r="43" spans="1:6" s="33" customFormat="1" ht="15" x14ac:dyDescent="0.25">
      <c r="A43" s="98"/>
      <c r="B43" s="99"/>
      <c r="E43" s="99"/>
    </row>
    <row r="44" spans="1:6" ht="14.25" x14ac:dyDescent="0.2">
      <c r="A44" s="100"/>
      <c r="B44" s="101"/>
    </row>
    <row r="45" spans="1:6" ht="14.25" x14ac:dyDescent="0.2">
      <c r="A45" s="100"/>
      <c r="B45" s="101"/>
    </row>
    <row r="46" spans="1:6" ht="14.25" x14ac:dyDescent="0.2">
      <c r="A46" s="100"/>
      <c r="B46" s="101"/>
    </row>
    <row r="47" spans="1:6" ht="14.25" x14ac:dyDescent="0.2">
      <c r="A47" s="100"/>
      <c r="B47" s="101"/>
    </row>
    <row r="48" spans="1:6" ht="15" x14ac:dyDescent="0.25">
      <c r="A48" s="100"/>
      <c r="B48" s="102"/>
    </row>
    <row r="49" spans="1:1" x14ac:dyDescent="0.2">
      <c r="A49" s="13"/>
    </row>
    <row r="50" spans="1:1" x14ac:dyDescent="0.2">
      <c r="A50" s="13"/>
    </row>
  </sheetData>
  <pageMargins left="0.17" right="0.17" top="0.61" bottom="0.3" header="0.27" footer="0.23"/>
  <pageSetup paperSize="9" scale="91" orientation="portrait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showZeros="0" zoomScale="75" workbookViewId="0">
      <selection activeCell="G1" sqref="G1:H65536"/>
    </sheetView>
  </sheetViews>
  <sheetFormatPr baseColWidth="10" defaultRowHeight="12.75" x14ac:dyDescent="0.2"/>
  <cols>
    <col min="1" max="1" width="49.140625" customWidth="1"/>
    <col min="2" max="2" width="13.7109375" style="50" customWidth="1"/>
    <col min="3" max="4" width="11.5703125" bestFit="1" customWidth="1"/>
    <col min="5" max="5" width="13.7109375" customWidth="1"/>
    <col min="6" max="6" width="11.5703125" customWidth="1"/>
    <col min="7" max="7" width="13.7109375" style="50" hidden="1" customWidth="1"/>
    <col min="8" max="8" width="11.5703125" hidden="1" customWidth="1"/>
  </cols>
  <sheetData>
    <row r="1" spans="1:8" s="82" customFormat="1" ht="39.75" customHeight="1" thickBot="1" x14ac:dyDescent="0.25">
      <c r="A1" s="153" t="s">
        <v>143</v>
      </c>
      <c r="B1" s="154"/>
      <c r="C1" s="155"/>
      <c r="D1" s="155"/>
      <c r="E1" s="155"/>
      <c r="F1" s="156"/>
      <c r="G1" s="154"/>
      <c r="H1" s="155"/>
    </row>
    <row r="2" spans="1:8" ht="18" x14ac:dyDescent="0.2">
      <c r="A2" s="157"/>
      <c r="B2" s="158"/>
      <c r="C2" s="159"/>
      <c r="D2" s="159"/>
      <c r="E2" s="159"/>
      <c r="F2" s="160"/>
      <c r="G2" s="158"/>
      <c r="H2" s="159"/>
    </row>
    <row r="3" spans="1:8" s="82" customFormat="1" ht="30" x14ac:dyDescent="0.2">
      <c r="A3" s="161"/>
      <c r="B3" s="162">
        <v>41090</v>
      </c>
      <c r="C3" s="163" t="s">
        <v>91</v>
      </c>
      <c r="D3" s="165" t="s">
        <v>39</v>
      </c>
      <c r="E3" s="215">
        <v>40724</v>
      </c>
      <c r="F3" s="165" t="s">
        <v>91</v>
      </c>
      <c r="G3" s="162" t="s">
        <v>144</v>
      </c>
      <c r="H3" s="165" t="s">
        <v>91</v>
      </c>
    </row>
    <row r="4" spans="1:8" ht="15" customHeight="1" x14ac:dyDescent="0.25">
      <c r="A4" s="166"/>
      <c r="B4" s="167"/>
      <c r="C4" s="168"/>
      <c r="D4" s="166"/>
      <c r="E4" s="170"/>
      <c r="F4" s="166"/>
      <c r="G4" s="167"/>
      <c r="H4" s="166"/>
    </row>
    <row r="5" spans="1:8" ht="15" x14ac:dyDescent="0.25">
      <c r="A5" s="171" t="s">
        <v>145</v>
      </c>
      <c r="B5" s="172">
        <v>27324632</v>
      </c>
      <c r="C5" s="173">
        <f>B5/B5</f>
        <v>1</v>
      </c>
      <c r="D5" s="175">
        <f>B5/E5-1</f>
        <v>8.0629748482559771E-2</v>
      </c>
      <c r="E5" s="172">
        <v>25285841</v>
      </c>
      <c r="F5" s="176">
        <f>E5/E5</f>
        <v>1</v>
      </c>
      <c r="G5" s="172">
        <v>38610698</v>
      </c>
      <c r="H5" s="176">
        <f>G5/G5</f>
        <v>1</v>
      </c>
    </row>
    <row r="6" spans="1:8" ht="14.25" x14ac:dyDescent="0.2">
      <c r="A6" s="177"/>
      <c r="B6" s="172"/>
      <c r="C6" s="173"/>
      <c r="D6" s="176"/>
      <c r="E6" s="172"/>
      <c r="F6" s="176">
        <f>E6/E5</f>
        <v>0</v>
      </c>
      <c r="G6" s="172"/>
      <c r="H6" s="176">
        <f>G6/G5</f>
        <v>0</v>
      </c>
    </row>
    <row r="7" spans="1:8" ht="15" x14ac:dyDescent="0.25">
      <c r="A7" s="171" t="s">
        <v>94</v>
      </c>
      <c r="B7" s="172">
        <v>14036139</v>
      </c>
      <c r="C7" s="173">
        <f>B7/B5</f>
        <v>0.51368080638743829</v>
      </c>
      <c r="D7" s="175">
        <f>B7/E7-1</f>
        <v>8.57382010681218E-2</v>
      </c>
      <c r="E7" s="172">
        <v>12927738</v>
      </c>
      <c r="F7" s="176">
        <f>E7/E5</f>
        <v>0.51126391247971548</v>
      </c>
      <c r="G7" s="172">
        <v>17817134</v>
      </c>
      <c r="H7" s="176">
        <f>G7/G5</f>
        <v>0.46145588976402341</v>
      </c>
    </row>
    <row r="8" spans="1:8" ht="14.25" x14ac:dyDescent="0.2">
      <c r="A8" s="179"/>
      <c r="B8" s="180"/>
      <c r="C8" s="181"/>
      <c r="D8" s="183"/>
      <c r="E8" s="206"/>
      <c r="F8" s="183"/>
      <c r="G8" s="180"/>
      <c r="H8" s="183"/>
    </row>
    <row r="9" spans="1:8" ht="15" x14ac:dyDescent="0.25">
      <c r="A9" s="184" t="s">
        <v>146</v>
      </c>
      <c r="B9" s="185">
        <f>B5-B7</f>
        <v>13288493</v>
      </c>
      <c r="C9" s="186">
        <f>B9/B5</f>
        <v>0.48631919361256176</v>
      </c>
      <c r="D9" s="188">
        <f>B9/E9-1</f>
        <v>7.5285826635366204E-2</v>
      </c>
      <c r="E9" s="207">
        <f>E5-E7</f>
        <v>12358103</v>
      </c>
      <c r="F9" s="189">
        <f>E9/E5</f>
        <v>0.48873608752028458</v>
      </c>
      <c r="G9" s="185">
        <f>G5-G7</f>
        <v>20793564</v>
      </c>
      <c r="H9" s="189">
        <f>G9/G5</f>
        <v>0.53854411023597659</v>
      </c>
    </row>
    <row r="10" spans="1:8" ht="14.25" x14ac:dyDescent="0.2">
      <c r="A10" s="190"/>
      <c r="B10" s="191"/>
      <c r="C10" s="173"/>
      <c r="D10" s="176"/>
      <c r="E10" s="208"/>
      <c r="F10" s="176"/>
      <c r="G10" s="191"/>
      <c r="H10" s="176"/>
    </row>
    <row r="11" spans="1:8" ht="14.25" x14ac:dyDescent="0.2">
      <c r="A11" s="177" t="s">
        <v>99</v>
      </c>
      <c r="B11" s="192">
        <v>130202</v>
      </c>
      <c r="C11" s="173">
        <f>B11/B5</f>
        <v>4.7650047034485223E-3</v>
      </c>
      <c r="D11" s="175">
        <f>B11/E11-1</f>
        <v>0.53191439295000764</v>
      </c>
      <c r="E11" s="192">
        <v>84993</v>
      </c>
      <c r="F11" s="176">
        <f>E11/E5</f>
        <v>3.3612882403239032E-3</v>
      </c>
      <c r="G11" s="172">
        <v>139605</v>
      </c>
      <c r="H11" s="176">
        <f>G11/G5</f>
        <v>3.6157077502199002E-3</v>
      </c>
    </row>
    <row r="12" spans="1:8" ht="14.25" x14ac:dyDescent="0.2">
      <c r="A12" s="177" t="s">
        <v>100</v>
      </c>
      <c r="B12" s="192">
        <v>4734666</v>
      </c>
      <c r="C12" s="173">
        <f>B12/B5</f>
        <v>0.1732746483099937</v>
      </c>
      <c r="D12" s="175">
        <f>B12/E12-1</f>
        <v>6.3600376138986281E-2</v>
      </c>
      <c r="E12" s="192">
        <v>4451546</v>
      </c>
      <c r="F12" s="176">
        <f>E12/E5</f>
        <v>0.17604895957385797</v>
      </c>
      <c r="G12" s="172">
        <v>7250272</v>
      </c>
      <c r="H12" s="176">
        <f>G12/G5</f>
        <v>0.18777883787545099</v>
      </c>
    </row>
    <row r="13" spans="1:8" ht="14.25" x14ac:dyDescent="0.2">
      <c r="A13" s="179"/>
      <c r="B13" s="180"/>
      <c r="C13" s="173"/>
      <c r="D13" s="176"/>
      <c r="E13" s="206"/>
      <c r="F13" s="176"/>
      <c r="G13" s="180"/>
      <c r="H13" s="176"/>
    </row>
    <row r="14" spans="1:8" ht="15" x14ac:dyDescent="0.25">
      <c r="A14" s="184" t="s">
        <v>101</v>
      </c>
      <c r="B14" s="193">
        <f>B9+B11-B12</f>
        <v>8684029</v>
      </c>
      <c r="C14" s="186">
        <f>B14/B5</f>
        <v>0.31780955000601657</v>
      </c>
      <c r="D14" s="188">
        <f>B14/E14-1</f>
        <v>8.665140054182241E-2</v>
      </c>
      <c r="E14" s="209">
        <f>E9+E11-E12</f>
        <v>7991550</v>
      </c>
      <c r="F14" s="189">
        <f>E14/E5</f>
        <v>0.3160484161867505</v>
      </c>
      <c r="G14" s="193">
        <f>G9+G11-G12</f>
        <v>13682897</v>
      </c>
      <c r="H14" s="189">
        <f>G14/G5</f>
        <v>0.35438098011074548</v>
      </c>
    </row>
    <row r="15" spans="1:8" ht="14.25" x14ac:dyDescent="0.2">
      <c r="A15" s="190"/>
      <c r="B15" s="191"/>
      <c r="C15" s="173"/>
      <c r="D15" s="176"/>
      <c r="E15" s="208"/>
      <c r="F15" s="176"/>
      <c r="G15" s="191"/>
      <c r="H15" s="176"/>
    </row>
    <row r="16" spans="1:8" ht="14.25" x14ac:dyDescent="0.2">
      <c r="A16" s="177" t="s">
        <v>102</v>
      </c>
      <c r="B16" s="172">
        <v>397904</v>
      </c>
      <c r="C16" s="173">
        <f>B16/B5</f>
        <v>1.4562099134583038E-2</v>
      </c>
      <c r="D16" s="175">
        <f>B16/E16-1</f>
        <v>-0.1595311671605788</v>
      </c>
      <c r="E16" s="172">
        <v>473431</v>
      </c>
      <c r="F16" s="176">
        <f>E16/E5</f>
        <v>1.8723166059614153E-2</v>
      </c>
      <c r="G16" s="172">
        <v>503063</v>
      </c>
      <c r="H16" s="176">
        <f>G16/G5</f>
        <v>1.3029109186267495E-2</v>
      </c>
    </row>
    <row r="17" spans="1:8" ht="14.25" x14ac:dyDescent="0.2">
      <c r="A17" s="177" t="s">
        <v>103</v>
      </c>
      <c r="B17" s="172">
        <v>6416023</v>
      </c>
      <c r="C17" s="173">
        <f>B17/B5</f>
        <v>0.23480729767925146</v>
      </c>
      <c r="D17" s="175">
        <f>B17/E17-1</f>
        <v>-2.3494343562558639E-2</v>
      </c>
      <c r="E17" s="172">
        <v>6570390</v>
      </c>
      <c r="F17" s="176">
        <f>E17/E5</f>
        <v>0.2598446300441421</v>
      </c>
      <c r="G17" s="172">
        <v>9677324</v>
      </c>
      <c r="H17" s="176">
        <f>G17/G5</f>
        <v>0.25063841114708674</v>
      </c>
    </row>
    <row r="18" spans="1:8" ht="14.25" x14ac:dyDescent="0.2">
      <c r="A18" s="177" t="s">
        <v>104</v>
      </c>
      <c r="B18" s="172">
        <v>364</v>
      </c>
      <c r="C18" s="173">
        <f>B18/B5</f>
        <v>1.3321313897292377E-5</v>
      </c>
      <c r="D18" s="175">
        <f>B18/E18-1</f>
        <v>-0.67701863354037273</v>
      </c>
      <c r="E18" s="172">
        <v>1127</v>
      </c>
      <c r="F18" s="176">
        <f>E18/E5</f>
        <v>4.4570398113315672E-5</v>
      </c>
      <c r="G18" s="172">
        <v>0</v>
      </c>
      <c r="H18" s="176">
        <f>G18/G5</f>
        <v>0</v>
      </c>
    </row>
    <row r="19" spans="1:8" ht="14.25" x14ac:dyDescent="0.2">
      <c r="A19" s="179"/>
      <c r="B19" s="180"/>
      <c r="C19" s="173"/>
      <c r="D19" s="176"/>
      <c r="E19" s="206"/>
      <c r="F19" s="176"/>
      <c r="G19" s="180"/>
      <c r="H19" s="176"/>
    </row>
    <row r="20" spans="1:8" ht="15" x14ac:dyDescent="0.25">
      <c r="A20" s="184" t="s">
        <v>105</v>
      </c>
      <c r="B20" s="193">
        <f>B14-B16-B17+B18</f>
        <v>1870466</v>
      </c>
      <c r="C20" s="186">
        <f>B20/B5</f>
        <v>6.8453474506079345E-2</v>
      </c>
      <c r="D20" s="188">
        <f>B20/E20-1</f>
        <v>0.97128542160243492</v>
      </c>
      <c r="E20" s="209">
        <f>E14-E16-E17+E18</f>
        <v>948856</v>
      </c>
      <c r="F20" s="189">
        <f>E20/E5</f>
        <v>3.7525190481107591E-2</v>
      </c>
      <c r="G20" s="193">
        <f>G14-G16-G17+G18</f>
        <v>3502510</v>
      </c>
      <c r="H20" s="189">
        <f>G20/G5</f>
        <v>9.0713459777391231E-2</v>
      </c>
    </row>
    <row r="21" spans="1:8" s="81" customFormat="1" ht="15" x14ac:dyDescent="0.25">
      <c r="A21" s="194"/>
      <c r="B21" s="195"/>
      <c r="C21" s="196"/>
      <c r="D21" s="198"/>
      <c r="E21" s="210"/>
      <c r="F21" s="198"/>
      <c r="G21" s="195"/>
      <c r="H21" s="198"/>
    </row>
    <row r="22" spans="1:8" ht="14.25" x14ac:dyDescent="0.2">
      <c r="A22" s="177" t="s">
        <v>106</v>
      </c>
      <c r="B22" s="172">
        <v>376445</v>
      </c>
      <c r="C22" s="173">
        <f>B22/B5</f>
        <v>1.3776763763918211E-2</v>
      </c>
      <c r="D22" s="175">
        <f>B22/E22-1</f>
        <v>-9.9202683882824161E-2</v>
      </c>
      <c r="E22" s="172">
        <v>417902</v>
      </c>
      <c r="F22" s="176">
        <f>E22/E5</f>
        <v>1.6527114917791345E-2</v>
      </c>
      <c r="G22" s="172">
        <v>468899</v>
      </c>
      <c r="H22" s="176">
        <f>G22/G5</f>
        <v>1.2144276697613704E-2</v>
      </c>
    </row>
    <row r="23" spans="1:8" ht="14.25" x14ac:dyDescent="0.2">
      <c r="A23" s="177" t="s">
        <v>107</v>
      </c>
      <c r="B23" s="172">
        <v>91801</v>
      </c>
      <c r="C23" s="173">
        <f>B23/B5</f>
        <v>3.3596426843003776E-3</v>
      </c>
      <c r="D23" s="175">
        <f>B23/E23-1</f>
        <v>-0.25644327809366441</v>
      </c>
      <c r="E23" s="172">
        <v>123462</v>
      </c>
      <c r="F23" s="176">
        <f>E23/E5</f>
        <v>4.882653497662981E-3</v>
      </c>
      <c r="G23" s="172">
        <v>166748</v>
      </c>
      <c r="H23" s="176">
        <f>G23/G5</f>
        <v>4.3186994443871491E-3</v>
      </c>
    </row>
    <row r="24" spans="1:8" ht="15" x14ac:dyDescent="0.25">
      <c r="A24" s="171"/>
      <c r="B24" s="172"/>
      <c r="C24" s="173"/>
      <c r="D24" s="176"/>
      <c r="E24" s="211"/>
      <c r="F24" s="176"/>
      <c r="G24" s="172"/>
      <c r="H24" s="176"/>
    </row>
    <row r="25" spans="1:8" ht="15" x14ac:dyDescent="0.25">
      <c r="A25" s="184" t="s">
        <v>108</v>
      </c>
      <c r="B25" s="193">
        <f>B20-B22+B23</f>
        <v>1585822</v>
      </c>
      <c r="C25" s="186">
        <f>B25/B5</f>
        <v>5.8036353426461518E-2</v>
      </c>
      <c r="D25" s="188">
        <f>B25/E25-1</f>
        <v>1.4232628786582233</v>
      </c>
      <c r="E25" s="209">
        <f>E20-E22+E23</f>
        <v>654416</v>
      </c>
      <c r="F25" s="189">
        <f>E25/E5</f>
        <v>2.5880729060979227E-2</v>
      </c>
      <c r="G25" s="193">
        <f>G20-G22+G23</f>
        <v>3200359</v>
      </c>
      <c r="H25" s="189">
        <f>G25/G5</f>
        <v>8.288788252416468E-2</v>
      </c>
    </row>
    <row r="26" spans="1:8" ht="14.25" x14ac:dyDescent="0.2">
      <c r="A26" s="177"/>
      <c r="B26" s="172"/>
      <c r="C26" s="173"/>
      <c r="D26" s="176"/>
      <c r="E26" s="211"/>
      <c r="F26" s="176"/>
      <c r="G26" s="172"/>
      <c r="H26" s="176"/>
    </row>
    <row r="27" spans="1:8" ht="14.25" x14ac:dyDescent="0.2">
      <c r="A27" s="177" t="s">
        <v>109</v>
      </c>
      <c r="B27" s="192">
        <v>-124770</v>
      </c>
      <c r="C27" s="173">
        <f>B27/B5</f>
        <v>-4.5662097114427744E-3</v>
      </c>
      <c r="D27" s="175">
        <f>B27/E27-1</f>
        <v>-0.48048649481402528</v>
      </c>
      <c r="E27" s="192">
        <v>-240167</v>
      </c>
      <c r="F27" s="176">
        <f>E27/E5</f>
        <v>-9.4980823457681308E-3</v>
      </c>
      <c r="G27" s="192">
        <v>-350378</v>
      </c>
      <c r="H27" s="176">
        <f>G27/G5</f>
        <v>-9.0746352215647589E-3</v>
      </c>
    </row>
    <row r="28" spans="1:8" ht="14.25" x14ac:dyDescent="0.2">
      <c r="A28" s="177"/>
      <c r="B28" s="172"/>
      <c r="C28" s="173"/>
      <c r="D28" s="176"/>
      <c r="E28" s="211"/>
      <c r="F28" s="176"/>
      <c r="G28" s="172"/>
      <c r="H28" s="176"/>
    </row>
    <row r="29" spans="1:8" ht="15" x14ac:dyDescent="0.25">
      <c r="A29" s="184" t="s">
        <v>110</v>
      </c>
      <c r="B29" s="193">
        <f>B25+B27</f>
        <v>1461052</v>
      </c>
      <c r="C29" s="186">
        <f>B29/B5</f>
        <v>5.3470143715018743E-2</v>
      </c>
      <c r="D29" s="188">
        <f>B29/E29-1</f>
        <v>2.5269898056482938</v>
      </c>
      <c r="E29" s="209">
        <f>E25+E27</f>
        <v>414249</v>
      </c>
      <c r="F29" s="189">
        <f>E29/E5</f>
        <v>1.6382646715211092E-2</v>
      </c>
      <c r="G29" s="193">
        <f>G25+G27</f>
        <v>2849981</v>
      </c>
      <c r="H29" s="189">
        <f>G29/G5</f>
        <v>7.3813247302599916E-2</v>
      </c>
    </row>
    <row r="30" spans="1:8" ht="14.25" x14ac:dyDescent="0.2">
      <c r="A30" s="177"/>
      <c r="B30" s="172"/>
      <c r="C30" s="173"/>
      <c r="D30" s="176"/>
      <c r="E30" s="211"/>
      <c r="F30" s="176"/>
      <c r="G30" s="172"/>
      <c r="H30" s="176"/>
    </row>
    <row r="31" spans="1:8" ht="14.25" x14ac:dyDescent="0.2">
      <c r="A31" s="177" t="s">
        <v>111</v>
      </c>
      <c r="B31" s="192">
        <v>57123</v>
      </c>
      <c r="C31" s="173">
        <f>B31/B5</f>
        <v>2.0905313564698693E-3</v>
      </c>
      <c r="D31" s="175">
        <f>B31/E31-1</f>
        <v>-5.1640909753608399</v>
      </c>
      <c r="E31" s="192">
        <v>-13718</v>
      </c>
      <c r="F31" s="176">
        <f>E31/E5</f>
        <v>-5.4251705529588675E-4</v>
      </c>
      <c r="G31" s="172">
        <v>65004</v>
      </c>
      <c r="H31" s="176">
        <f>G31/G5</f>
        <v>1.6835748475720381E-3</v>
      </c>
    </row>
    <row r="32" spans="1:8" ht="14.25" x14ac:dyDescent="0.2">
      <c r="A32" s="177" t="s">
        <v>112</v>
      </c>
      <c r="B32" s="172"/>
      <c r="C32" s="173">
        <f>B32/B5</f>
        <v>0</v>
      </c>
      <c r="D32" s="175"/>
      <c r="E32" s="172"/>
      <c r="F32" s="176">
        <f>E32/E5</f>
        <v>0</v>
      </c>
      <c r="G32" s="172"/>
      <c r="H32" s="176">
        <f>G32/G5</f>
        <v>0</v>
      </c>
    </row>
    <row r="33" spans="1:8" ht="14.25" x14ac:dyDescent="0.2">
      <c r="A33" s="177" t="s">
        <v>113</v>
      </c>
      <c r="B33" s="172">
        <v>409286</v>
      </c>
      <c r="C33" s="173">
        <f>B33/B5</f>
        <v>1.4978646372986834E-2</v>
      </c>
      <c r="D33" s="175">
        <f>B33/E33-1</f>
        <v>2.7678456354832175</v>
      </c>
      <c r="E33" s="172">
        <v>108626</v>
      </c>
      <c r="F33" s="176">
        <f>E33/E5</f>
        <v>4.2959219746734941E-3</v>
      </c>
      <c r="G33" s="172">
        <v>962231</v>
      </c>
      <c r="H33" s="176">
        <f>G33/G5</f>
        <v>2.4921357288075964E-2</v>
      </c>
    </row>
    <row r="34" spans="1:8" ht="14.25" x14ac:dyDescent="0.2">
      <c r="A34" s="177" t="s">
        <v>114</v>
      </c>
      <c r="B34" s="172">
        <v>-70676</v>
      </c>
      <c r="C34" s="173">
        <f>B34/B5</f>
        <v>-2.5865307170468022E-3</v>
      </c>
      <c r="D34" s="175">
        <f>B34/E34-1</f>
        <v>4.2209499889192585</v>
      </c>
      <c r="E34" s="172">
        <v>-13537</v>
      </c>
      <c r="F34" s="176">
        <f>E34/E5</f>
        <v>-5.3535889907715549E-4</v>
      </c>
      <c r="G34" s="172">
        <v>20391</v>
      </c>
      <c r="H34" s="176">
        <f>G34/G5</f>
        <v>5.2811788069720986E-4</v>
      </c>
    </row>
    <row r="35" spans="1:8" ht="14.25" x14ac:dyDescent="0.2">
      <c r="A35" s="177"/>
      <c r="B35" s="172"/>
      <c r="C35" s="173"/>
      <c r="D35" s="176"/>
      <c r="E35" s="211"/>
      <c r="F35" s="176"/>
      <c r="G35" s="172"/>
      <c r="H35" s="176"/>
    </row>
    <row r="36" spans="1:8" ht="15" x14ac:dyDescent="0.25">
      <c r="A36" s="184" t="s">
        <v>116</v>
      </c>
      <c r="B36" s="193">
        <f>B29+B31-B32-B33+B34</f>
        <v>1038213</v>
      </c>
      <c r="C36" s="186">
        <f>B36/B5</f>
        <v>3.7995497981454976E-2</v>
      </c>
      <c r="D36" s="188">
        <f>B36/E36-1</f>
        <v>2.7296420565582249</v>
      </c>
      <c r="E36" s="209">
        <f>E29+E31-E32-E33+E34</f>
        <v>278368</v>
      </c>
      <c r="F36" s="189">
        <f>E36/E5</f>
        <v>1.1008848786164557E-2</v>
      </c>
      <c r="G36" s="193">
        <f>G29+G31-G32-G33+G34</f>
        <v>1973145</v>
      </c>
      <c r="H36" s="189">
        <f>G36/G5</f>
        <v>5.1103582742793204E-2</v>
      </c>
    </row>
    <row r="37" spans="1:8" s="81" customFormat="1" ht="15" x14ac:dyDescent="0.25">
      <c r="A37" s="194"/>
      <c r="B37" s="195"/>
      <c r="C37" s="196"/>
      <c r="D37" s="198"/>
      <c r="E37" s="210"/>
      <c r="F37" s="198"/>
      <c r="G37" s="195"/>
      <c r="H37" s="198"/>
    </row>
    <row r="38" spans="1:8" s="214" customFormat="1" ht="14.25" x14ac:dyDescent="0.2">
      <c r="A38" s="177" t="s">
        <v>118</v>
      </c>
      <c r="B38" s="200">
        <v>-339509</v>
      </c>
      <c r="C38" s="173">
        <f>B38/B5</f>
        <v>-1.2425016373505049E-2</v>
      </c>
      <c r="D38" s="175">
        <f>B38/E38-1</f>
        <v>-2.945421342492871E-6</v>
      </c>
      <c r="E38" s="200">
        <v>-339510</v>
      </c>
      <c r="F38" s="176">
        <f>E38/E5</f>
        <v>-1.3426881866416862E-2</v>
      </c>
      <c r="G38" s="200">
        <v>-653207</v>
      </c>
      <c r="H38" s="176">
        <f>G38/G5</f>
        <v>-1.6917772374899828E-2</v>
      </c>
    </row>
    <row r="39" spans="1:8" ht="14.25" x14ac:dyDescent="0.2">
      <c r="A39" s="177"/>
      <c r="B39" s="172"/>
      <c r="C39" s="173"/>
      <c r="D39" s="176"/>
      <c r="E39" s="211"/>
      <c r="F39" s="176"/>
      <c r="G39" s="172"/>
      <c r="H39" s="176"/>
    </row>
    <row r="40" spans="1:8" ht="15" x14ac:dyDescent="0.25">
      <c r="A40" s="184" t="s">
        <v>119</v>
      </c>
      <c r="B40" s="193">
        <f>B36+B38</f>
        <v>698704</v>
      </c>
      <c r="C40" s="186">
        <f>B40/B5</f>
        <v>2.5570481607949926E-2</v>
      </c>
      <c r="D40" s="188">
        <f>B40/-E40-1</f>
        <v>10.427562068627131</v>
      </c>
      <c r="E40" s="209">
        <f>E36+E38</f>
        <v>-61142</v>
      </c>
      <c r="F40" s="189">
        <f>E40/E5</f>
        <v>-2.4180330802523039E-3</v>
      </c>
      <c r="G40" s="193">
        <f>G36+G38</f>
        <v>1319938</v>
      </c>
      <c r="H40" s="189">
        <f>G40/G5</f>
        <v>3.4185810367893373E-2</v>
      </c>
    </row>
    <row r="43" spans="1:8" s="213" customFormat="1" ht="15" x14ac:dyDescent="0.25">
      <c r="A43" s="98"/>
      <c r="B43" s="99"/>
      <c r="E43" s="99"/>
      <c r="G43" s="99">
        <f>G36+G22-G23-G34</f>
        <v>2254905</v>
      </c>
    </row>
    <row r="44" spans="1:8" ht="14.25" x14ac:dyDescent="0.2">
      <c r="A44" s="100"/>
      <c r="B44" s="101"/>
      <c r="G44" s="101"/>
    </row>
    <row r="45" spans="1:8" ht="14.25" x14ac:dyDescent="0.2">
      <c r="A45" s="100"/>
      <c r="B45" s="101"/>
      <c r="G45" s="101"/>
    </row>
    <row r="46" spans="1:8" ht="14.25" x14ac:dyDescent="0.2">
      <c r="A46" s="100"/>
      <c r="B46" s="101"/>
      <c r="G46" s="101"/>
    </row>
    <row r="47" spans="1:8" ht="14.25" x14ac:dyDescent="0.2">
      <c r="A47" s="100"/>
      <c r="B47" s="101"/>
      <c r="G47" s="101"/>
    </row>
    <row r="48" spans="1:8" ht="15" x14ac:dyDescent="0.25">
      <c r="A48" s="100"/>
      <c r="B48" s="102"/>
      <c r="G48" s="102"/>
    </row>
    <row r="49" spans="1:6" s="50" customFormat="1" x14ac:dyDescent="0.2">
      <c r="A49" s="13"/>
      <c r="C49"/>
      <c r="D49"/>
      <c r="E49"/>
      <c r="F49"/>
    </row>
    <row r="50" spans="1:6" s="50" customFormat="1" x14ac:dyDescent="0.2">
      <c r="A50" s="13"/>
      <c r="C50"/>
      <c r="D50"/>
      <c r="E50"/>
      <c r="F50"/>
    </row>
  </sheetData>
  <pageMargins left="0.17" right="0.17" top="0.61" bottom="0.3" header="0.27" footer="0.23"/>
  <pageSetup paperSize="9" scale="91" orientation="portrait" horizont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showZeros="0" zoomScale="75" workbookViewId="0">
      <selection activeCell="G1" sqref="G1:H65536"/>
    </sheetView>
  </sheetViews>
  <sheetFormatPr baseColWidth="10" defaultRowHeight="12.75" x14ac:dyDescent="0.2"/>
  <cols>
    <col min="1" max="1" width="49.140625" customWidth="1"/>
    <col min="2" max="2" width="13.7109375" style="50" customWidth="1"/>
    <col min="3" max="4" width="11.5703125" bestFit="1" customWidth="1"/>
    <col min="5" max="5" width="13.7109375" customWidth="1"/>
    <col min="6" max="6" width="11.5703125" customWidth="1"/>
    <col min="7" max="7" width="13.7109375" style="50" hidden="1" customWidth="1"/>
    <col min="8" max="8" width="11.5703125" hidden="1" customWidth="1"/>
  </cols>
  <sheetData>
    <row r="1" spans="1:8" s="82" customFormat="1" ht="39.75" customHeight="1" thickBot="1" x14ac:dyDescent="0.25">
      <c r="A1" s="153" t="s">
        <v>143</v>
      </c>
      <c r="B1" s="154"/>
      <c r="C1" s="155"/>
      <c r="D1" s="155"/>
      <c r="E1" s="155"/>
      <c r="F1" s="156"/>
      <c r="G1" s="154"/>
      <c r="H1" s="155"/>
    </row>
    <row r="2" spans="1:8" ht="18" x14ac:dyDescent="0.2">
      <c r="A2" s="157"/>
      <c r="B2" s="158"/>
      <c r="C2" s="159"/>
      <c r="D2" s="159"/>
      <c r="E2" s="159"/>
      <c r="F2" s="160"/>
      <c r="G2" s="158"/>
      <c r="H2" s="159"/>
    </row>
    <row r="3" spans="1:8" s="82" customFormat="1" ht="30" x14ac:dyDescent="0.2">
      <c r="A3" s="161"/>
      <c r="B3" s="162">
        <v>40359</v>
      </c>
      <c r="C3" s="163" t="s">
        <v>91</v>
      </c>
      <c r="D3" s="165" t="s">
        <v>39</v>
      </c>
      <c r="E3" s="215">
        <v>39994</v>
      </c>
      <c r="F3" s="165" t="s">
        <v>91</v>
      </c>
      <c r="G3" s="162" t="s">
        <v>144</v>
      </c>
      <c r="H3" s="165" t="s">
        <v>91</v>
      </c>
    </row>
    <row r="4" spans="1:8" ht="15" customHeight="1" x14ac:dyDescent="0.25">
      <c r="A4" s="166"/>
      <c r="B4" s="167"/>
      <c r="C4" s="168"/>
      <c r="D4" s="166"/>
      <c r="E4" s="170"/>
      <c r="F4" s="166"/>
      <c r="G4" s="167"/>
      <c r="H4" s="166"/>
    </row>
    <row r="5" spans="1:8" ht="15" x14ac:dyDescent="0.25">
      <c r="A5" s="171" t="s">
        <v>145</v>
      </c>
      <c r="B5" s="172">
        <v>24387584</v>
      </c>
      <c r="C5" s="173">
        <f>B5/B5</f>
        <v>1</v>
      </c>
      <c r="D5" s="216">
        <f>B5/E5-1</f>
        <v>1.8602127255765266E-2</v>
      </c>
      <c r="E5" s="211">
        <v>23942208</v>
      </c>
      <c r="F5" s="176">
        <f>E5/E5</f>
        <v>1</v>
      </c>
      <c r="G5" s="172">
        <v>38610698</v>
      </c>
      <c r="H5" s="176">
        <f>G5/G5</f>
        <v>1</v>
      </c>
    </row>
    <row r="6" spans="1:8" ht="14.25" x14ac:dyDescent="0.2">
      <c r="A6" s="177"/>
      <c r="B6" s="172"/>
      <c r="C6" s="173"/>
      <c r="D6" s="176"/>
      <c r="E6" s="211"/>
      <c r="F6" s="176">
        <f>E6/E5</f>
        <v>0</v>
      </c>
      <c r="G6" s="172"/>
      <c r="H6" s="176">
        <f>G6/G5</f>
        <v>0</v>
      </c>
    </row>
    <row r="7" spans="1:8" ht="15" x14ac:dyDescent="0.25">
      <c r="A7" s="171" t="s">
        <v>94</v>
      </c>
      <c r="B7" s="172">
        <v>12589772</v>
      </c>
      <c r="C7" s="173">
        <f>B7/B5</f>
        <v>0.51623695073689957</v>
      </c>
      <c r="D7" s="216">
        <f>B7/E7-1</f>
        <v>-2.9501604203544418E-2</v>
      </c>
      <c r="E7" s="211">
        <v>12972481</v>
      </c>
      <c r="F7" s="176">
        <f>E7/E5</f>
        <v>0.5418247556783401</v>
      </c>
      <c r="G7" s="172">
        <v>17817134</v>
      </c>
      <c r="H7" s="176">
        <f>G7/G5</f>
        <v>0.46145588976402341</v>
      </c>
    </row>
    <row r="8" spans="1:8" ht="14.25" x14ac:dyDescent="0.2">
      <c r="A8" s="179"/>
      <c r="B8" s="180"/>
      <c r="C8" s="181"/>
      <c r="D8" s="183"/>
      <c r="E8" s="206"/>
      <c r="F8" s="183"/>
      <c r="G8" s="180"/>
      <c r="H8" s="183"/>
    </row>
    <row r="9" spans="1:8" ht="15" x14ac:dyDescent="0.25">
      <c r="A9" s="184" t="s">
        <v>146</v>
      </c>
      <c r="B9" s="185">
        <f>B5-B7</f>
        <v>11797812</v>
      </c>
      <c r="C9" s="186">
        <f>B9/B5</f>
        <v>0.48376304926310043</v>
      </c>
      <c r="D9" s="188">
        <f>B9/E9-1</f>
        <v>7.5488204948035653E-2</v>
      </c>
      <c r="E9" s="207">
        <f>E5-E7</f>
        <v>10969727</v>
      </c>
      <c r="F9" s="189">
        <f>E9/E5</f>
        <v>0.4581752443216599</v>
      </c>
      <c r="G9" s="185">
        <f>G5-G7</f>
        <v>20793564</v>
      </c>
      <c r="H9" s="189">
        <f>G9/G5</f>
        <v>0.53854411023597659</v>
      </c>
    </row>
    <row r="10" spans="1:8" ht="14.25" x14ac:dyDescent="0.2">
      <c r="A10" s="190"/>
      <c r="B10" s="191"/>
      <c r="C10" s="173"/>
      <c r="D10" s="176"/>
      <c r="E10" s="208"/>
      <c r="F10" s="176"/>
      <c r="G10" s="191"/>
      <c r="H10" s="176"/>
    </row>
    <row r="11" spans="1:8" ht="14.25" x14ac:dyDescent="0.2">
      <c r="A11" s="177" t="s">
        <v>99</v>
      </c>
      <c r="B11" s="172">
        <v>335744</v>
      </c>
      <c r="C11" s="173">
        <f>B11/B5</f>
        <v>1.3767005374538125E-2</v>
      </c>
      <c r="D11" s="216">
        <f>B11/E11-1</f>
        <v>2.016405225234938</v>
      </c>
      <c r="E11" s="211">
        <v>111306</v>
      </c>
      <c r="F11" s="176">
        <f>E11/E5</f>
        <v>4.6489446587382414E-3</v>
      </c>
      <c r="G11" s="172">
        <v>139605</v>
      </c>
      <c r="H11" s="176">
        <f>G11/G5</f>
        <v>3.6157077502199002E-3</v>
      </c>
    </row>
    <row r="12" spans="1:8" ht="14.25" x14ac:dyDescent="0.2">
      <c r="A12" s="177" t="s">
        <v>100</v>
      </c>
      <c r="B12" s="192">
        <v>4734961</v>
      </c>
      <c r="C12" s="173">
        <f>B12/B5</f>
        <v>0.19415457472130079</v>
      </c>
      <c r="D12" s="216">
        <f>B12/E12-1</f>
        <v>0.14637584877301668</v>
      </c>
      <c r="E12" s="217">
        <v>4130374</v>
      </c>
      <c r="F12" s="176">
        <f>E12/E5</f>
        <v>0.17251433117613882</v>
      </c>
      <c r="G12" s="172">
        <v>7250272</v>
      </c>
      <c r="H12" s="176">
        <f>G12/G5</f>
        <v>0.18777883787545099</v>
      </c>
    </row>
    <row r="13" spans="1:8" ht="14.25" x14ac:dyDescent="0.2">
      <c r="A13" s="179"/>
      <c r="B13" s="180"/>
      <c r="C13" s="173"/>
      <c r="D13" s="176"/>
      <c r="E13" s="206"/>
      <c r="F13" s="176"/>
      <c r="G13" s="180"/>
      <c r="H13" s="176"/>
    </row>
    <row r="14" spans="1:8" ht="15" x14ac:dyDescent="0.25">
      <c r="A14" s="184" t="s">
        <v>101</v>
      </c>
      <c r="B14" s="193">
        <f>B9+B11-B12</f>
        <v>7398595</v>
      </c>
      <c r="C14" s="186">
        <f>B14/B5</f>
        <v>0.30337547991633773</v>
      </c>
      <c r="D14" s="188">
        <f>B14/E14-1</f>
        <v>6.4445112326759313E-2</v>
      </c>
      <c r="E14" s="209">
        <f>E9+E11-E12</f>
        <v>6950659</v>
      </c>
      <c r="F14" s="189">
        <f>E14/E5</f>
        <v>0.29030985780425933</v>
      </c>
      <c r="G14" s="193">
        <f>G9+G11-G12</f>
        <v>13682897</v>
      </c>
      <c r="H14" s="189">
        <f>G14/G5</f>
        <v>0.35438098011074548</v>
      </c>
    </row>
    <row r="15" spans="1:8" ht="14.25" x14ac:dyDescent="0.2">
      <c r="A15" s="190"/>
      <c r="B15" s="191"/>
      <c r="C15" s="173"/>
      <c r="D15" s="176"/>
      <c r="E15" s="208"/>
      <c r="F15" s="176"/>
      <c r="G15" s="191"/>
      <c r="H15" s="176"/>
    </row>
    <row r="16" spans="1:8" ht="14.25" x14ac:dyDescent="0.2">
      <c r="A16" s="177" t="s">
        <v>102</v>
      </c>
      <c r="B16" s="172">
        <v>380772</v>
      </c>
      <c r="C16" s="173">
        <f>B16/B5</f>
        <v>1.5613354730013436E-2</v>
      </c>
      <c r="D16" s="216">
        <f>B16/E16-1</f>
        <v>0.20135541028294512</v>
      </c>
      <c r="E16" s="211">
        <v>316952</v>
      </c>
      <c r="F16" s="176">
        <f>E16/E5</f>
        <v>1.323821094528959E-2</v>
      </c>
      <c r="G16" s="172">
        <v>503063</v>
      </c>
      <c r="H16" s="176">
        <f>G16/G5</f>
        <v>1.3029109186267495E-2</v>
      </c>
    </row>
    <row r="17" spans="1:8" ht="14.25" x14ac:dyDescent="0.2">
      <c r="A17" s="177" t="s">
        <v>103</v>
      </c>
      <c r="B17" s="172">
        <v>6529738</v>
      </c>
      <c r="C17" s="173">
        <f>B17/B5</f>
        <v>0.26774845757578941</v>
      </c>
      <c r="D17" s="216">
        <f>B17/E17-1</f>
        <v>0.14670109132391862</v>
      </c>
      <c r="E17" s="211">
        <v>5694368</v>
      </c>
      <c r="F17" s="176">
        <f>E17/E5</f>
        <v>0.23783804735135539</v>
      </c>
      <c r="G17" s="172">
        <v>9677324</v>
      </c>
      <c r="H17" s="176">
        <f>G17/G5</f>
        <v>0.25063841114708674</v>
      </c>
    </row>
    <row r="18" spans="1:8" ht="14.25" x14ac:dyDescent="0.2">
      <c r="A18" s="177" t="s">
        <v>104</v>
      </c>
      <c r="B18" s="172">
        <v>818</v>
      </c>
      <c r="C18" s="173">
        <f>B18/B5</f>
        <v>3.3541657919046022E-5</v>
      </c>
      <c r="D18" s="216"/>
      <c r="E18" s="211">
        <v>0</v>
      </c>
      <c r="F18" s="176">
        <f>E18/E5</f>
        <v>0</v>
      </c>
      <c r="G18" s="172">
        <v>0</v>
      </c>
      <c r="H18" s="176">
        <f>G18/G5</f>
        <v>0</v>
      </c>
    </row>
    <row r="19" spans="1:8" ht="14.25" x14ac:dyDescent="0.2">
      <c r="A19" s="179"/>
      <c r="B19" s="180"/>
      <c r="C19" s="173"/>
      <c r="D19" s="176"/>
      <c r="E19" s="206"/>
      <c r="F19" s="176"/>
      <c r="G19" s="180"/>
      <c r="H19" s="176"/>
    </row>
    <row r="20" spans="1:8" ht="15" x14ac:dyDescent="0.25">
      <c r="A20" s="184" t="s">
        <v>105</v>
      </c>
      <c r="B20" s="193">
        <f>B14-B16-B17+B18</f>
        <v>488903</v>
      </c>
      <c r="C20" s="186">
        <f>B20/B5</f>
        <v>2.0047209268453981E-2</v>
      </c>
      <c r="D20" s="188">
        <f>B20/E20-1</f>
        <v>-0.47952443154175439</v>
      </c>
      <c r="E20" s="209">
        <f>E14-E16-E17+E18</f>
        <v>939339</v>
      </c>
      <c r="F20" s="189">
        <f>E20/E5</f>
        <v>3.9233599507614333E-2</v>
      </c>
      <c r="G20" s="193">
        <f>G14-G16-G17+G18</f>
        <v>3502510</v>
      </c>
      <c r="H20" s="189">
        <f>G20/G5</f>
        <v>9.0713459777391231E-2</v>
      </c>
    </row>
    <row r="21" spans="1:8" s="81" customFormat="1" ht="15" x14ac:dyDescent="0.25">
      <c r="A21" s="194"/>
      <c r="B21" s="195"/>
      <c r="C21" s="196"/>
      <c r="D21" s="198"/>
      <c r="E21" s="210"/>
      <c r="F21" s="198"/>
      <c r="G21" s="195"/>
      <c r="H21" s="198"/>
    </row>
    <row r="22" spans="1:8" ht="14.25" x14ac:dyDescent="0.2">
      <c r="A22" s="177" t="s">
        <v>106</v>
      </c>
      <c r="B22" s="172">
        <v>314679</v>
      </c>
      <c r="C22" s="173">
        <f>B22/B5</f>
        <v>1.2903246176415015E-2</v>
      </c>
      <c r="D22" s="216">
        <f>B22/E22-1</f>
        <v>0.13005677594509857</v>
      </c>
      <c r="E22" s="211">
        <v>278463</v>
      </c>
      <c r="F22" s="176">
        <f>E22/E5</f>
        <v>1.1630631560798403E-2</v>
      </c>
      <c r="G22" s="172">
        <v>468899</v>
      </c>
      <c r="H22" s="176">
        <f>G22/G5</f>
        <v>1.2144276697613704E-2</v>
      </c>
    </row>
    <row r="23" spans="1:8" ht="14.25" x14ac:dyDescent="0.2">
      <c r="A23" s="177" t="s">
        <v>107</v>
      </c>
      <c r="B23" s="172">
        <v>118134</v>
      </c>
      <c r="C23" s="173">
        <f>B23/B5</f>
        <v>4.844022269692644E-3</v>
      </c>
      <c r="D23" s="216">
        <f>B23/E23-1</f>
        <v>-0.28439199912770619</v>
      </c>
      <c r="E23" s="211">
        <v>165082</v>
      </c>
      <c r="F23" s="176">
        <f>E23/E5</f>
        <v>6.8950198745245219E-3</v>
      </c>
      <c r="G23" s="172">
        <v>166748</v>
      </c>
      <c r="H23" s="176">
        <f>G23/G5</f>
        <v>4.3186994443871491E-3</v>
      </c>
    </row>
    <row r="24" spans="1:8" ht="15" x14ac:dyDescent="0.25">
      <c r="A24" s="171"/>
      <c r="B24" s="172"/>
      <c r="C24" s="173"/>
      <c r="D24" s="176"/>
      <c r="E24" s="211"/>
      <c r="F24" s="176"/>
      <c r="G24" s="172"/>
      <c r="H24" s="176"/>
    </row>
    <row r="25" spans="1:8" ht="15" x14ac:dyDescent="0.25">
      <c r="A25" s="184" t="s">
        <v>108</v>
      </c>
      <c r="B25" s="193">
        <f>B20-B22+B23</f>
        <v>292358</v>
      </c>
      <c r="C25" s="186">
        <f>B25/B5</f>
        <v>1.198798536173161E-2</v>
      </c>
      <c r="D25" s="188">
        <f>B25/E25-1</f>
        <v>-0.64603769198918104</v>
      </c>
      <c r="E25" s="209">
        <f>E20-E22+E23</f>
        <v>825958</v>
      </c>
      <c r="F25" s="189">
        <f>E25/E5</f>
        <v>3.4497987821340455E-2</v>
      </c>
      <c r="G25" s="193">
        <f>G20-G22+G23</f>
        <v>3200359</v>
      </c>
      <c r="H25" s="189">
        <f>G25/G5</f>
        <v>8.288788252416468E-2</v>
      </c>
    </row>
    <row r="26" spans="1:8" ht="14.25" x14ac:dyDescent="0.2">
      <c r="A26" s="177"/>
      <c r="B26" s="172"/>
      <c r="C26" s="173"/>
      <c r="D26" s="176"/>
      <c r="E26" s="211"/>
      <c r="F26" s="176"/>
      <c r="G26" s="172"/>
      <c r="H26" s="176"/>
    </row>
    <row r="27" spans="1:8" ht="14.25" x14ac:dyDescent="0.2">
      <c r="A27" s="177" t="s">
        <v>109</v>
      </c>
      <c r="B27" s="192">
        <v>13418</v>
      </c>
      <c r="C27" s="173">
        <f>B27/B5</f>
        <v>5.5019800239334898E-4</v>
      </c>
      <c r="D27" s="216">
        <f>B27/E27-1</f>
        <v>-1.0442325886514301</v>
      </c>
      <c r="E27" s="217">
        <v>-303351</v>
      </c>
      <c r="F27" s="176">
        <f>E27/E5</f>
        <v>-1.2670134684319842E-2</v>
      </c>
      <c r="G27" s="192">
        <v>-350378</v>
      </c>
      <c r="H27" s="176">
        <f>G27/G5</f>
        <v>-9.0746352215647589E-3</v>
      </c>
    </row>
    <row r="28" spans="1:8" ht="14.25" x14ac:dyDescent="0.2">
      <c r="A28" s="177"/>
      <c r="B28" s="172"/>
      <c r="C28" s="173"/>
      <c r="D28" s="176"/>
      <c r="E28" s="211"/>
      <c r="F28" s="176"/>
      <c r="G28" s="172"/>
      <c r="H28" s="176"/>
    </row>
    <row r="29" spans="1:8" ht="15" x14ac:dyDescent="0.25">
      <c r="A29" s="184" t="s">
        <v>110</v>
      </c>
      <c r="B29" s="193">
        <f>B25+B27</f>
        <v>305776</v>
      </c>
      <c r="C29" s="186">
        <f>B29/B5</f>
        <v>1.2538183364124957E-2</v>
      </c>
      <c r="D29" s="188">
        <f>B29/E29-1</f>
        <v>-0.41490259410991437</v>
      </c>
      <c r="E29" s="209">
        <f>E25+E27</f>
        <v>522607</v>
      </c>
      <c r="F29" s="189">
        <f>E29/E5</f>
        <v>2.1827853137020611E-2</v>
      </c>
      <c r="G29" s="193">
        <f>G25+G27</f>
        <v>2849981</v>
      </c>
      <c r="H29" s="189">
        <f>G29/G5</f>
        <v>7.3813247302599916E-2</v>
      </c>
    </row>
    <row r="30" spans="1:8" ht="14.25" x14ac:dyDescent="0.2">
      <c r="A30" s="177"/>
      <c r="B30" s="172"/>
      <c r="C30" s="173"/>
      <c r="D30" s="176"/>
      <c r="E30" s="211"/>
      <c r="F30" s="176"/>
      <c r="G30" s="172"/>
      <c r="H30" s="176"/>
    </row>
    <row r="31" spans="1:8" ht="14.25" x14ac:dyDescent="0.2">
      <c r="A31" s="177" t="s">
        <v>111</v>
      </c>
      <c r="B31" s="192">
        <v>95243</v>
      </c>
      <c r="C31" s="173">
        <f>B31/B5</f>
        <v>3.9053889060925427E-3</v>
      </c>
      <c r="D31" s="216">
        <f>B31/E31-1</f>
        <v>-0.49120698312980116</v>
      </c>
      <c r="E31" s="217">
        <v>187194</v>
      </c>
      <c r="F31" s="176">
        <f>E31/E5</f>
        <v>7.8185771337380416E-3</v>
      </c>
      <c r="G31" s="172">
        <v>65004</v>
      </c>
      <c r="H31" s="176">
        <f>G31/G5</f>
        <v>1.6835748475720381E-3</v>
      </c>
    </row>
    <row r="32" spans="1:8" ht="14.25" x14ac:dyDescent="0.2">
      <c r="A32" s="177" t="s">
        <v>112</v>
      </c>
      <c r="B32" s="172"/>
      <c r="C32" s="173">
        <f>B32/B5</f>
        <v>0</v>
      </c>
      <c r="D32" s="216"/>
      <c r="E32" s="211"/>
      <c r="F32" s="176">
        <f>E32/E5</f>
        <v>0</v>
      </c>
      <c r="G32" s="172"/>
      <c r="H32" s="176">
        <f>G32/G5</f>
        <v>0</v>
      </c>
    </row>
    <row r="33" spans="1:8" ht="14.25" x14ac:dyDescent="0.2">
      <c r="A33" s="177" t="s">
        <v>113</v>
      </c>
      <c r="B33" s="172">
        <v>233486</v>
      </c>
      <c r="C33" s="173">
        <f>B33/B5</f>
        <v>9.5739700988831042E-3</v>
      </c>
      <c r="D33" s="216">
        <f>B33/E33-1</f>
        <v>-0.22076786500954493</v>
      </c>
      <c r="E33" s="211">
        <v>299636</v>
      </c>
      <c r="F33" s="176">
        <f>E33/E5</f>
        <v>1.2514969379599408E-2</v>
      </c>
      <c r="G33" s="172">
        <v>962231</v>
      </c>
      <c r="H33" s="176">
        <f>G33/G5</f>
        <v>2.4921357288075964E-2</v>
      </c>
    </row>
    <row r="34" spans="1:8" ht="14.25" x14ac:dyDescent="0.2">
      <c r="A34" s="177" t="s">
        <v>114</v>
      </c>
      <c r="B34" s="172">
        <v>63651</v>
      </c>
      <c r="C34" s="173">
        <f>B34/B5</f>
        <v>2.6099756335026874E-3</v>
      </c>
      <c r="D34" s="216">
        <f>B34/E34-1</f>
        <v>-0.45301503003428811</v>
      </c>
      <c r="E34" s="211">
        <v>116367</v>
      </c>
      <c r="F34" s="176">
        <f>E34/E5</f>
        <v>4.8603286714408297E-3</v>
      </c>
      <c r="G34" s="172">
        <v>20391</v>
      </c>
      <c r="H34" s="176">
        <f>G34/G5</f>
        <v>5.2811788069720986E-4</v>
      </c>
    </row>
    <row r="35" spans="1:8" ht="14.25" x14ac:dyDescent="0.2">
      <c r="A35" s="177"/>
      <c r="B35" s="172"/>
      <c r="C35" s="173"/>
      <c r="D35" s="176"/>
      <c r="E35" s="211"/>
      <c r="F35" s="176"/>
      <c r="G35" s="172"/>
      <c r="H35" s="176"/>
    </row>
    <row r="36" spans="1:8" ht="15" x14ac:dyDescent="0.25">
      <c r="A36" s="184" t="s">
        <v>116</v>
      </c>
      <c r="B36" s="193">
        <f>B29+B31-B32-B33+B34</f>
        <v>231184</v>
      </c>
      <c r="C36" s="186">
        <f>B36/B5</f>
        <v>9.4795778048370836E-3</v>
      </c>
      <c r="D36" s="188">
        <f>B36/E36-1</f>
        <v>-0.56093076963983202</v>
      </c>
      <c r="E36" s="209">
        <f>E29+E31-E32-E33+E34</f>
        <v>526532</v>
      </c>
      <c r="F36" s="189">
        <f>E36/E5</f>
        <v>2.1991789562600075E-2</v>
      </c>
      <c r="G36" s="193">
        <f>G29+G31-G32-G33+G34</f>
        <v>1973145</v>
      </c>
      <c r="H36" s="189">
        <f>G36/G5</f>
        <v>5.1103582742793204E-2</v>
      </c>
    </row>
    <row r="37" spans="1:8" s="81" customFormat="1" ht="15" x14ac:dyDescent="0.25">
      <c r="A37" s="194"/>
      <c r="B37" s="195"/>
      <c r="C37" s="196"/>
      <c r="D37" s="198"/>
      <c r="E37" s="210"/>
      <c r="F37" s="198"/>
      <c r="G37" s="195"/>
      <c r="H37" s="198"/>
    </row>
    <row r="38" spans="1:8" s="214" customFormat="1" ht="14.25" x14ac:dyDescent="0.2">
      <c r="A38" s="177" t="s">
        <v>118</v>
      </c>
      <c r="B38" s="200">
        <v>-335176</v>
      </c>
      <c r="C38" s="173">
        <f>B38/B5</f>
        <v>-1.3743714834564998E-2</v>
      </c>
      <c r="D38" s="216">
        <f>B38/E38-1</f>
        <v>3.7831544659057803E-2</v>
      </c>
      <c r="E38" s="218">
        <v>-322958</v>
      </c>
      <c r="F38" s="176">
        <f>E38/E5</f>
        <v>-1.3489065001857807E-2</v>
      </c>
      <c r="G38" s="200">
        <v>-653207</v>
      </c>
      <c r="H38" s="176">
        <f>G38/G5</f>
        <v>-1.6917772374899828E-2</v>
      </c>
    </row>
    <row r="39" spans="1:8" ht="14.25" x14ac:dyDescent="0.2">
      <c r="A39" s="177"/>
      <c r="B39" s="172"/>
      <c r="C39" s="173"/>
      <c r="D39" s="176"/>
      <c r="E39" s="211"/>
      <c r="F39" s="176"/>
      <c r="G39" s="172"/>
      <c r="H39" s="176"/>
    </row>
    <row r="40" spans="1:8" ht="15" x14ac:dyDescent="0.25">
      <c r="A40" s="184" t="s">
        <v>119</v>
      </c>
      <c r="B40" s="193">
        <f>B36+B38</f>
        <v>-103992</v>
      </c>
      <c r="C40" s="186">
        <f>B40/B5</f>
        <v>-4.264137029727914E-3</v>
      </c>
      <c r="D40" s="188">
        <f>B40/E40-1</f>
        <v>-1.510831442129152</v>
      </c>
      <c r="E40" s="209">
        <f>E36+E38</f>
        <v>203574</v>
      </c>
      <c r="F40" s="189">
        <f>E40/E5</f>
        <v>8.5027245607422666E-3</v>
      </c>
      <c r="G40" s="193">
        <f>G36+G38</f>
        <v>1319938</v>
      </c>
      <c r="H40" s="189">
        <f>G40/G5</f>
        <v>3.4185810367893373E-2</v>
      </c>
    </row>
    <row r="43" spans="1:8" s="213" customFormat="1" ht="15" x14ac:dyDescent="0.25">
      <c r="A43" s="98"/>
      <c r="B43" s="99"/>
      <c r="E43" s="99"/>
      <c r="G43" s="99">
        <f>G36+G22-G23-G34</f>
        <v>2254905</v>
      </c>
    </row>
    <row r="44" spans="1:8" ht="14.25" x14ac:dyDescent="0.2">
      <c r="A44" s="100"/>
      <c r="B44" s="101"/>
      <c r="G44" s="101"/>
    </row>
    <row r="45" spans="1:8" ht="14.25" x14ac:dyDescent="0.2">
      <c r="A45" s="100"/>
      <c r="B45" s="101"/>
      <c r="G45" s="101"/>
    </row>
    <row r="46" spans="1:8" ht="14.25" x14ac:dyDescent="0.2">
      <c r="A46" s="100"/>
      <c r="B46" s="101"/>
      <c r="G46" s="101"/>
    </row>
    <row r="47" spans="1:8" ht="14.25" x14ac:dyDescent="0.2">
      <c r="A47" s="100"/>
      <c r="B47" s="101"/>
      <c r="G47" s="101"/>
    </row>
    <row r="48" spans="1:8" ht="15" x14ac:dyDescent="0.25">
      <c r="A48" s="100"/>
      <c r="B48" s="102"/>
      <c r="G48" s="102"/>
    </row>
    <row r="49" spans="1:1" x14ac:dyDescent="0.2">
      <c r="A49" s="13"/>
    </row>
    <row r="50" spans="1:1" x14ac:dyDescent="0.2">
      <c r="A50" s="13"/>
    </row>
  </sheetData>
  <pageMargins left="0.17" right="0.17" top="0.61" bottom="0.3" header="0.27" footer="0.23"/>
  <pageSetup paperSize="9" scale="9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topLeftCell="B1" workbookViewId="0">
      <pane xSplit="5" ySplit="6" topLeftCell="G7" activePane="bottomRight" state="frozen"/>
      <selection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baseColWidth="10" defaultRowHeight="12.75" x14ac:dyDescent="0.2"/>
  <cols>
    <col min="1" max="1" width="4.140625" customWidth="1"/>
    <col min="5" max="5" width="6.85546875" customWidth="1"/>
    <col min="6" max="6" width="9" style="8" customWidth="1"/>
    <col min="7" max="7" width="12.7109375" style="9" customWidth="1"/>
    <col min="8" max="8" width="2" style="9" customWidth="1"/>
    <col min="9" max="9" width="12.7109375" style="50" customWidth="1"/>
    <col min="10" max="10" width="4.5703125" customWidth="1"/>
  </cols>
  <sheetData>
    <row r="1" spans="1:9" ht="15" x14ac:dyDescent="0.25">
      <c r="A1" s="98" t="s">
        <v>120</v>
      </c>
    </row>
    <row r="3" spans="1:9" ht="18" customHeight="1" x14ac:dyDescent="0.2">
      <c r="A3" s="103" t="s">
        <v>1</v>
      </c>
      <c r="B3" s="103"/>
      <c r="C3" s="10"/>
      <c r="D3" s="10"/>
      <c r="E3" s="10"/>
      <c r="F3" s="11"/>
      <c r="G3" s="12"/>
      <c r="H3" s="12"/>
      <c r="I3" s="51"/>
    </row>
    <row r="5" spans="1:9" x14ac:dyDescent="0.2">
      <c r="B5" s="10"/>
      <c r="C5" s="10"/>
      <c r="D5" s="10"/>
      <c r="E5" s="10"/>
      <c r="F5" s="11"/>
      <c r="G5" s="12"/>
      <c r="H5" s="12"/>
      <c r="I5" s="51"/>
    </row>
    <row r="6" spans="1:9" ht="42" customHeight="1" x14ac:dyDescent="0.2">
      <c r="A6" s="13"/>
      <c r="B6" s="104" t="s">
        <v>121</v>
      </c>
      <c r="C6" s="105"/>
      <c r="D6" s="105"/>
      <c r="E6" s="105"/>
      <c r="F6" s="106" t="s">
        <v>3</v>
      </c>
      <c r="G6" s="106" t="s">
        <v>122</v>
      </c>
      <c r="H6" s="106"/>
      <c r="I6" s="106" t="s">
        <v>123</v>
      </c>
    </row>
    <row r="7" spans="1:9" ht="7.5" customHeight="1" x14ac:dyDescent="0.2"/>
    <row r="8" spans="1:9" x14ac:dyDescent="0.2">
      <c r="B8" s="33" t="s">
        <v>6</v>
      </c>
    </row>
    <row r="9" spans="1:9" ht="9" customHeight="1" x14ac:dyDescent="0.2">
      <c r="I9" s="9"/>
    </row>
    <row r="10" spans="1:9" x14ac:dyDescent="0.2">
      <c r="B10" t="s">
        <v>7</v>
      </c>
      <c r="G10" s="9">
        <v>1200416</v>
      </c>
      <c r="I10" s="9">
        <v>1304285</v>
      </c>
    </row>
    <row r="11" spans="1:9" x14ac:dyDescent="0.2">
      <c r="B11" t="s">
        <v>8</v>
      </c>
      <c r="G11" s="9">
        <v>1637401</v>
      </c>
      <c r="I11" s="9">
        <v>1602821</v>
      </c>
    </row>
    <row r="12" spans="1:9" x14ac:dyDescent="0.2">
      <c r="B12" t="s">
        <v>9</v>
      </c>
      <c r="G12" s="9">
        <v>1215372</v>
      </c>
      <c r="I12" s="9">
        <v>1322721</v>
      </c>
    </row>
    <row r="13" spans="1:9" x14ac:dyDescent="0.2">
      <c r="B13" t="s">
        <v>10</v>
      </c>
      <c r="G13" s="9">
        <v>198183</v>
      </c>
      <c r="I13" s="9">
        <v>212737</v>
      </c>
    </row>
    <row r="14" spans="1:9" x14ac:dyDescent="0.2">
      <c r="B14" t="s">
        <v>11</v>
      </c>
      <c r="G14" s="9">
        <v>255941</v>
      </c>
      <c r="I14" s="9"/>
    </row>
    <row r="15" spans="1:9" ht="7.5" customHeight="1" x14ac:dyDescent="0.2">
      <c r="B15" s="10"/>
      <c r="C15" s="10"/>
      <c r="D15" s="10"/>
      <c r="E15" s="10"/>
      <c r="F15" s="11"/>
      <c r="G15" s="12"/>
      <c r="H15" s="12"/>
      <c r="I15" s="12"/>
    </row>
    <row r="16" spans="1:9" ht="7.5" customHeight="1" x14ac:dyDescent="0.2">
      <c r="I16" s="9"/>
    </row>
    <row r="17" spans="2:9" x14ac:dyDescent="0.2">
      <c r="B17" s="33" t="s">
        <v>12</v>
      </c>
      <c r="I17" s="9"/>
    </row>
    <row r="18" spans="2:9" ht="7.5" customHeight="1" x14ac:dyDescent="0.2">
      <c r="I18" s="9"/>
    </row>
    <row r="19" spans="2:9" x14ac:dyDescent="0.2">
      <c r="B19" t="s">
        <v>13</v>
      </c>
      <c r="G19" s="9">
        <v>9400973</v>
      </c>
      <c r="I19" s="9">
        <v>9492213</v>
      </c>
    </row>
    <row r="20" spans="2:9" x14ac:dyDescent="0.2">
      <c r="B20" t="s">
        <v>14</v>
      </c>
      <c r="G20" s="9">
        <v>811110</v>
      </c>
      <c r="I20" s="9">
        <v>600671</v>
      </c>
    </row>
    <row r="21" spans="2:9" x14ac:dyDescent="0.2">
      <c r="B21" t="s">
        <v>15</v>
      </c>
      <c r="G21" s="9">
        <v>7143963</v>
      </c>
      <c r="I21" s="9">
        <v>7699693</v>
      </c>
    </row>
    <row r="22" spans="2:9" x14ac:dyDescent="0.2">
      <c r="B22" t="s">
        <v>16</v>
      </c>
      <c r="G22" s="9">
        <v>1493832</v>
      </c>
      <c r="I22" s="9">
        <v>2076653</v>
      </c>
    </row>
    <row r="23" spans="2:9" x14ac:dyDescent="0.2">
      <c r="B23" t="s">
        <v>18</v>
      </c>
      <c r="G23" s="9">
        <v>2609480</v>
      </c>
      <c r="I23" s="9">
        <v>2413651</v>
      </c>
    </row>
    <row r="24" spans="2:9" ht="7.5" customHeight="1" x14ac:dyDescent="0.2">
      <c r="B24" s="10"/>
      <c r="C24" s="10"/>
      <c r="D24" s="10"/>
      <c r="E24" s="10"/>
      <c r="F24" s="11"/>
      <c r="G24" s="12"/>
      <c r="H24" s="12"/>
      <c r="I24" s="12"/>
    </row>
    <row r="25" spans="2:9" ht="18" customHeight="1" x14ac:dyDescent="0.2">
      <c r="B25" s="107" t="s">
        <v>19</v>
      </c>
      <c r="C25" s="108"/>
      <c r="D25" s="10"/>
      <c r="E25" s="10"/>
      <c r="F25" s="11"/>
      <c r="G25" s="109">
        <f>SUM(G10:G24)</f>
        <v>25966671</v>
      </c>
      <c r="H25" s="109"/>
      <c r="I25" s="109">
        <f>SUM(I10:I24)</f>
        <v>26725445</v>
      </c>
    </row>
    <row r="26" spans="2:9" x14ac:dyDescent="0.2">
      <c r="I26" s="9"/>
    </row>
    <row r="27" spans="2:9" x14ac:dyDescent="0.2">
      <c r="I27" s="9"/>
    </row>
    <row r="28" spans="2:9" x14ac:dyDescent="0.2">
      <c r="B28" s="10"/>
      <c r="C28" s="10"/>
      <c r="D28" s="10"/>
      <c r="E28" s="10"/>
      <c r="F28" s="11"/>
      <c r="G28" s="12"/>
      <c r="H28" s="12"/>
      <c r="I28" s="12"/>
    </row>
    <row r="29" spans="2:9" ht="25.5" x14ac:dyDescent="0.2">
      <c r="B29" s="104" t="s">
        <v>124</v>
      </c>
      <c r="C29" s="105"/>
      <c r="D29" s="105"/>
      <c r="E29" s="105"/>
      <c r="F29" s="106" t="s">
        <v>3</v>
      </c>
      <c r="G29" s="106" t="str">
        <f>G6</f>
        <v>Net au 30/06/2016</v>
      </c>
      <c r="H29" s="106"/>
      <c r="I29" s="106" t="s">
        <v>123</v>
      </c>
    </row>
    <row r="30" spans="2:9" x14ac:dyDescent="0.2">
      <c r="I30" s="9"/>
    </row>
    <row r="31" spans="2:9" x14ac:dyDescent="0.2">
      <c r="B31" s="33" t="s">
        <v>21</v>
      </c>
      <c r="I31" s="9"/>
    </row>
    <row r="32" spans="2:9" x14ac:dyDescent="0.2">
      <c r="I32" s="9"/>
    </row>
    <row r="33" spans="2:16" x14ac:dyDescent="0.2">
      <c r="B33" t="s">
        <v>22</v>
      </c>
      <c r="G33" s="9">
        <v>2973750</v>
      </c>
      <c r="I33" s="9">
        <v>2973750</v>
      </c>
    </row>
    <row r="34" spans="2:16" x14ac:dyDescent="0.2">
      <c r="B34" t="s">
        <v>125</v>
      </c>
      <c r="G34" s="9">
        <v>7941455</v>
      </c>
      <c r="I34" s="9">
        <v>7784426</v>
      </c>
    </row>
    <row r="35" spans="2:16" x14ac:dyDescent="0.2">
      <c r="B35" t="s">
        <v>25</v>
      </c>
      <c r="G35" s="9">
        <v>-339498</v>
      </c>
      <c r="I35" s="9">
        <v>128237</v>
      </c>
    </row>
    <row r="36" spans="2:16" x14ac:dyDescent="0.2">
      <c r="B36" t="s">
        <v>26</v>
      </c>
      <c r="G36" s="9">
        <v>377663</v>
      </c>
      <c r="I36" s="9">
        <v>681695</v>
      </c>
    </row>
    <row r="37" spans="2:16" s="33" customFormat="1" x14ac:dyDescent="0.2">
      <c r="B37" s="33" t="s">
        <v>27</v>
      </c>
      <c r="F37" s="110"/>
      <c r="G37" s="111">
        <f>SUM(G33:G36)</f>
        <v>10953370</v>
      </c>
      <c r="H37" s="111"/>
      <c r="I37" s="111">
        <f>SUM(I33:I36)</f>
        <v>11568108</v>
      </c>
      <c r="K37"/>
      <c r="L37"/>
      <c r="M37"/>
      <c r="N37"/>
      <c r="O37"/>
      <c r="P37"/>
    </row>
    <row r="38" spans="2:16" x14ac:dyDescent="0.2">
      <c r="I38" s="9"/>
    </row>
    <row r="39" spans="2:16" ht="7.5" customHeight="1" x14ac:dyDescent="0.2">
      <c r="B39" s="10"/>
      <c r="C39" s="10"/>
      <c r="D39" s="10"/>
      <c r="E39" s="10"/>
      <c r="F39" s="11"/>
      <c r="G39" s="12"/>
      <c r="H39" s="12"/>
      <c r="I39" s="12"/>
    </row>
    <row r="40" spans="2:16" ht="7.5" customHeight="1" x14ac:dyDescent="0.2">
      <c r="I40" s="9"/>
    </row>
    <row r="41" spans="2:16" x14ac:dyDescent="0.2">
      <c r="B41" s="33" t="s">
        <v>28</v>
      </c>
      <c r="G41" s="9">
        <v>99932</v>
      </c>
      <c r="I41" s="9">
        <v>119535</v>
      </c>
    </row>
    <row r="42" spans="2:16" ht="7.5" customHeight="1" x14ac:dyDescent="0.2">
      <c r="B42" s="112"/>
      <c r="C42" s="10"/>
      <c r="D42" s="10"/>
      <c r="E42" s="10"/>
      <c r="F42" s="11"/>
      <c r="G42" s="12"/>
      <c r="H42" s="12"/>
      <c r="I42" s="12"/>
    </row>
    <row r="43" spans="2:16" ht="7.5" customHeight="1" x14ac:dyDescent="0.2">
      <c r="I43" s="9"/>
    </row>
    <row r="44" spans="2:16" x14ac:dyDescent="0.2">
      <c r="B44" s="33" t="s">
        <v>29</v>
      </c>
      <c r="I44" s="9"/>
    </row>
    <row r="45" spans="2:16" ht="7.5" customHeight="1" x14ac:dyDescent="0.2">
      <c r="I45" s="9"/>
    </row>
    <row r="46" spans="2:16" x14ac:dyDescent="0.2">
      <c r="B46" t="s">
        <v>30</v>
      </c>
      <c r="G46" s="9">
        <v>6365284</v>
      </c>
      <c r="I46" s="9">
        <v>4327099</v>
      </c>
    </row>
    <row r="47" spans="2:16" x14ac:dyDescent="0.2">
      <c r="B47" t="s">
        <v>31</v>
      </c>
      <c r="G47" s="9">
        <v>5269564</v>
      </c>
      <c r="I47" s="9">
        <v>7239771</v>
      </c>
      <c r="K47" s="50"/>
    </row>
    <row r="48" spans="2:16" x14ac:dyDescent="0.2">
      <c r="B48" t="s">
        <v>33</v>
      </c>
      <c r="G48" s="9">
        <v>3278521</v>
      </c>
      <c r="I48" s="9">
        <v>3470932</v>
      </c>
    </row>
    <row r="49" spans="2:9" x14ac:dyDescent="0.2">
      <c r="B49" s="10"/>
      <c r="C49" s="10"/>
      <c r="D49" s="10"/>
      <c r="E49" s="10"/>
      <c r="F49" s="11"/>
      <c r="G49" s="12"/>
      <c r="H49" s="12"/>
      <c r="I49" s="12"/>
    </row>
    <row r="50" spans="2:9" ht="18.75" customHeight="1" x14ac:dyDescent="0.2">
      <c r="B50" s="107" t="s">
        <v>34</v>
      </c>
      <c r="C50" s="108"/>
      <c r="D50" s="10"/>
      <c r="E50" s="10"/>
      <c r="F50" s="11"/>
      <c r="G50" s="109">
        <f>SUM(G37:G49)</f>
        <v>25966671</v>
      </c>
      <c r="H50" s="109"/>
      <c r="I50" s="109">
        <f>SUM(I37:I49)</f>
        <v>26725445</v>
      </c>
    </row>
    <row r="51" spans="2:9" x14ac:dyDescent="0.2">
      <c r="I51" s="9"/>
    </row>
  </sheetData>
  <pageMargins left="0.41" right="0.36" top="0.984251969" bottom="0.984251969" header="0.4921259845" footer="0.492125984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opLeftCell="A16" zoomScale="90" workbookViewId="0">
      <selection activeCell="G1" sqref="G1:H65536"/>
    </sheetView>
  </sheetViews>
  <sheetFormatPr baseColWidth="10" defaultRowHeight="12.75" x14ac:dyDescent="0.2"/>
  <cols>
    <col min="1" max="1" width="4.140625" customWidth="1"/>
    <col min="5" max="5" width="6.85546875" customWidth="1"/>
    <col min="6" max="6" width="9" style="8" customWidth="1"/>
    <col min="7" max="7" width="12.7109375" style="9" customWidth="1"/>
    <col min="8" max="8" width="2" style="9" customWidth="1"/>
    <col min="9" max="9" width="12.7109375" style="50" customWidth="1"/>
    <col min="10" max="10" width="4.5703125" customWidth="1"/>
  </cols>
  <sheetData>
    <row r="1" spans="1:9" ht="15" x14ac:dyDescent="0.25">
      <c r="A1" s="98" t="s">
        <v>147</v>
      </c>
    </row>
    <row r="3" spans="1:9" ht="18" customHeight="1" x14ac:dyDescent="0.2">
      <c r="A3" s="103" t="s">
        <v>1</v>
      </c>
      <c r="B3" s="103"/>
      <c r="C3" s="10"/>
      <c r="D3" s="10"/>
      <c r="E3" s="10"/>
      <c r="F3" s="11"/>
      <c r="G3" s="12"/>
      <c r="H3" s="12"/>
      <c r="I3" s="51"/>
    </row>
    <row r="5" spans="1:9" x14ac:dyDescent="0.2">
      <c r="B5" s="10"/>
      <c r="C5" s="10"/>
      <c r="D5" s="10"/>
      <c r="E5" s="10"/>
      <c r="F5" s="11"/>
      <c r="G5" s="12"/>
      <c r="H5" s="12"/>
      <c r="I5" s="51"/>
    </row>
    <row r="6" spans="1:9" ht="42" customHeight="1" x14ac:dyDescent="0.2">
      <c r="A6" s="13"/>
      <c r="B6" s="104" t="s">
        <v>121</v>
      </c>
      <c r="C6" s="105"/>
      <c r="D6" s="105"/>
      <c r="E6" s="105"/>
      <c r="F6" s="106" t="s">
        <v>3</v>
      </c>
      <c r="G6" s="106" t="s">
        <v>148</v>
      </c>
      <c r="H6" s="106"/>
      <c r="I6" s="106" t="s">
        <v>149</v>
      </c>
    </row>
    <row r="7" spans="1:9" ht="7.5" customHeight="1" x14ac:dyDescent="0.2"/>
    <row r="8" spans="1:9" x14ac:dyDescent="0.2">
      <c r="B8" s="33" t="s">
        <v>6</v>
      </c>
    </row>
    <row r="9" spans="1:9" ht="9" customHeight="1" x14ac:dyDescent="0.2"/>
    <row r="10" spans="1:9" x14ac:dyDescent="0.2">
      <c r="B10" t="s">
        <v>7</v>
      </c>
      <c r="G10" s="9">
        <v>5209268</v>
      </c>
      <c r="I10" s="9">
        <v>6888286</v>
      </c>
    </row>
    <row r="11" spans="1:9" x14ac:dyDescent="0.2">
      <c r="B11" t="s">
        <v>8</v>
      </c>
      <c r="G11" s="9">
        <v>1474287</v>
      </c>
      <c r="I11" s="9">
        <v>1424707</v>
      </c>
    </row>
    <row r="12" spans="1:9" x14ac:dyDescent="0.2">
      <c r="B12" t="s">
        <v>9</v>
      </c>
      <c r="G12" s="9">
        <v>909090</v>
      </c>
      <c r="I12" s="9">
        <v>1000579</v>
      </c>
    </row>
    <row r="13" spans="1:9" x14ac:dyDescent="0.2">
      <c r="B13" t="s">
        <v>10</v>
      </c>
      <c r="G13" s="9">
        <v>234145</v>
      </c>
      <c r="I13" s="9">
        <v>448878</v>
      </c>
    </row>
    <row r="14" spans="1:9" ht="7.5" customHeight="1" x14ac:dyDescent="0.2">
      <c r="B14" s="10"/>
      <c r="C14" s="10"/>
      <c r="D14" s="10"/>
      <c r="E14" s="10"/>
      <c r="F14" s="11"/>
      <c r="G14" s="12"/>
      <c r="H14" s="12"/>
      <c r="I14" s="12"/>
    </row>
    <row r="15" spans="1:9" ht="7.5" customHeight="1" x14ac:dyDescent="0.2">
      <c r="I15" s="9"/>
    </row>
    <row r="16" spans="1:9" x14ac:dyDescent="0.2">
      <c r="B16" s="33" t="s">
        <v>12</v>
      </c>
      <c r="I16" s="9"/>
    </row>
    <row r="17" spans="2:9" ht="7.5" customHeight="1" x14ac:dyDescent="0.2">
      <c r="I17" s="9"/>
    </row>
    <row r="18" spans="2:9" x14ac:dyDescent="0.2">
      <c r="B18" t="s">
        <v>13</v>
      </c>
      <c r="G18" s="9">
        <v>8059727</v>
      </c>
      <c r="I18" s="9">
        <v>7792015</v>
      </c>
    </row>
    <row r="19" spans="2:9" x14ac:dyDescent="0.2">
      <c r="B19" t="s">
        <v>14</v>
      </c>
      <c r="I19" s="9"/>
    </row>
    <row r="20" spans="2:9" x14ac:dyDescent="0.2">
      <c r="B20" t="s">
        <v>15</v>
      </c>
      <c r="G20" s="9">
        <v>8548078</v>
      </c>
      <c r="I20" s="9">
        <v>8159015</v>
      </c>
    </row>
    <row r="21" spans="2:9" x14ac:dyDescent="0.2">
      <c r="B21" t="s">
        <v>16</v>
      </c>
      <c r="G21" s="9">
        <v>1938421</v>
      </c>
      <c r="I21" s="9">
        <v>1665584</v>
      </c>
    </row>
    <row r="22" spans="2:9" x14ac:dyDescent="0.2">
      <c r="B22" t="s">
        <v>18</v>
      </c>
      <c r="G22" s="9">
        <v>2886620</v>
      </c>
      <c r="I22" s="9">
        <v>2149206</v>
      </c>
    </row>
    <row r="23" spans="2:9" ht="7.5" customHeight="1" x14ac:dyDescent="0.2">
      <c r="B23" s="10"/>
      <c r="C23" s="10"/>
      <c r="D23" s="10"/>
      <c r="E23" s="10"/>
      <c r="F23" s="11"/>
      <c r="G23" s="12"/>
      <c r="H23" s="12"/>
      <c r="I23" s="12"/>
    </row>
    <row r="24" spans="2:9" ht="18" customHeight="1" x14ac:dyDescent="0.2">
      <c r="B24" s="107" t="s">
        <v>19</v>
      </c>
      <c r="C24" s="108"/>
      <c r="D24" s="10"/>
      <c r="E24" s="10"/>
      <c r="F24" s="11"/>
      <c r="G24" s="109">
        <f>SUM(G10:G23)</f>
        <v>29259636</v>
      </c>
      <c r="H24" s="109"/>
      <c r="I24" s="109">
        <f>SUM(I10:I23)</f>
        <v>29528270</v>
      </c>
    </row>
    <row r="27" spans="2:9" x14ac:dyDescent="0.2">
      <c r="B27" s="10"/>
      <c r="C27" s="10"/>
      <c r="D27" s="10"/>
      <c r="E27" s="10"/>
      <c r="F27" s="11"/>
      <c r="G27" s="12"/>
      <c r="H27" s="12"/>
      <c r="I27" s="51"/>
    </row>
    <row r="28" spans="2:9" ht="25.5" x14ac:dyDescent="0.2">
      <c r="B28" s="104" t="s">
        <v>124</v>
      </c>
      <c r="C28" s="105"/>
      <c r="D28" s="105"/>
      <c r="E28" s="105"/>
      <c r="F28" s="106" t="s">
        <v>3</v>
      </c>
      <c r="G28" s="106" t="s">
        <v>148</v>
      </c>
      <c r="H28" s="106"/>
      <c r="I28" s="106" t="s">
        <v>149</v>
      </c>
    </row>
    <row r="30" spans="2:9" x14ac:dyDescent="0.2">
      <c r="B30" s="33" t="s">
        <v>21</v>
      </c>
    </row>
    <row r="32" spans="2:9" x14ac:dyDescent="0.2">
      <c r="B32" t="s">
        <v>22</v>
      </c>
      <c r="G32" s="9">
        <v>2973750</v>
      </c>
      <c r="I32" s="9">
        <v>2973750</v>
      </c>
    </row>
    <row r="33" spans="2:9" x14ac:dyDescent="0.2">
      <c r="B33" t="s">
        <v>125</v>
      </c>
      <c r="G33" s="9">
        <v>8735731</v>
      </c>
      <c r="I33" s="9">
        <v>8977683</v>
      </c>
    </row>
    <row r="34" spans="2:9" x14ac:dyDescent="0.2">
      <c r="B34" t="s">
        <v>25</v>
      </c>
      <c r="G34" s="9">
        <v>-105364</v>
      </c>
      <c r="I34" s="9">
        <v>-229087</v>
      </c>
    </row>
    <row r="35" spans="2:9" x14ac:dyDescent="0.2">
      <c r="B35" t="s">
        <v>26</v>
      </c>
      <c r="G35" s="9">
        <v>-188556</v>
      </c>
      <c r="I35" s="9">
        <v>421057</v>
      </c>
    </row>
    <row r="36" spans="2:9" s="33" customFormat="1" x14ac:dyDescent="0.2">
      <c r="B36" s="33" t="s">
        <v>27</v>
      </c>
      <c r="F36" s="110"/>
      <c r="G36" s="111">
        <f>SUM(G32:G35)</f>
        <v>11415561</v>
      </c>
      <c r="H36" s="111"/>
      <c r="I36" s="111">
        <f>SUM(I32:I35)</f>
        <v>12143403</v>
      </c>
    </row>
    <row r="37" spans="2:9" x14ac:dyDescent="0.2">
      <c r="I37" s="9"/>
    </row>
    <row r="38" spans="2:9" x14ac:dyDescent="0.2">
      <c r="B38" s="33"/>
      <c r="I38" s="9"/>
    </row>
    <row r="39" spans="2:9" ht="7.5" customHeight="1" x14ac:dyDescent="0.2">
      <c r="B39" s="10"/>
      <c r="C39" s="10"/>
      <c r="D39" s="10"/>
      <c r="E39" s="10"/>
      <c r="F39" s="11"/>
      <c r="G39" s="12"/>
      <c r="H39" s="12"/>
      <c r="I39" s="12"/>
    </row>
    <row r="40" spans="2:9" ht="7.5" customHeight="1" x14ac:dyDescent="0.2">
      <c r="I40" s="9"/>
    </row>
    <row r="41" spans="2:9" x14ac:dyDescent="0.2">
      <c r="B41" s="33" t="s">
        <v>28</v>
      </c>
      <c r="G41" s="9">
        <v>144540</v>
      </c>
      <c r="I41" s="9">
        <v>410674</v>
      </c>
    </row>
    <row r="42" spans="2:9" ht="7.5" customHeight="1" x14ac:dyDescent="0.2">
      <c r="B42" s="112"/>
      <c r="C42" s="10"/>
      <c r="D42" s="10"/>
      <c r="E42" s="10"/>
      <c r="F42" s="11"/>
      <c r="G42" s="12"/>
      <c r="H42" s="12"/>
      <c r="I42" s="12"/>
    </row>
    <row r="43" spans="2:9" ht="7.5" customHeight="1" x14ac:dyDescent="0.2">
      <c r="I43" s="9"/>
    </row>
    <row r="44" spans="2:9" x14ac:dyDescent="0.2">
      <c r="B44" s="33" t="s">
        <v>29</v>
      </c>
      <c r="I44" s="9"/>
    </row>
    <row r="45" spans="2:9" ht="7.5" customHeight="1" x14ac:dyDescent="0.2">
      <c r="I45" s="9"/>
    </row>
    <row r="46" spans="2:9" x14ac:dyDescent="0.2">
      <c r="B46" t="s">
        <v>30</v>
      </c>
      <c r="G46" s="9">
        <v>7349758</v>
      </c>
      <c r="I46" s="9">
        <v>7971315</v>
      </c>
    </row>
    <row r="47" spans="2:9" x14ac:dyDescent="0.2">
      <c r="B47" t="s">
        <v>31</v>
      </c>
      <c r="G47" s="9">
        <v>5828714</v>
      </c>
      <c r="I47" s="9">
        <v>4405052</v>
      </c>
    </row>
    <row r="48" spans="2:9" x14ac:dyDescent="0.2">
      <c r="B48" t="s">
        <v>33</v>
      </c>
      <c r="G48" s="9">
        <v>4521063</v>
      </c>
      <c r="I48" s="9">
        <v>4597826</v>
      </c>
    </row>
    <row r="49" spans="2:9" x14ac:dyDescent="0.2">
      <c r="B49" s="10"/>
      <c r="C49" s="10"/>
      <c r="D49" s="10"/>
      <c r="E49" s="10"/>
      <c r="F49" s="11"/>
      <c r="G49" s="12"/>
      <c r="H49" s="12"/>
      <c r="I49" s="12"/>
    </row>
    <row r="50" spans="2:9" ht="18.75" customHeight="1" x14ac:dyDescent="0.2">
      <c r="B50" s="107" t="s">
        <v>34</v>
      </c>
      <c r="C50" s="108"/>
      <c r="D50" s="10"/>
      <c r="E50" s="10"/>
      <c r="F50" s="11"/>
      <c r="G50" s="109">
        <f>SUM(G36:G49)</f>
        <v>29259636</v>
      </c>
      <c r="H50" s="109"/>
      <c r="I50" s="109">
        <f>SUM(I36:I49)</f>
        <v>29528270</v>
      </c>
    </row>
  </sheetData>
  <pageMargins left="0.41" right="0.36" top="0.984251969" bottom="0.984251969" header="0.4921259845" footer="0.4921259845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opLeftCell="A7" zoomScale="90" workbookViewId="0">
      <selection activeCell="G1" sqref="G1:H65536"/>
    </sheetView>
  </sheetViews>
  <sheetFormatPr baseColWidth="10" defaultRowHeight="12.75" x14ac:dyDescent="0.2"/>
  <cols>
    <col min="1" max="1" width="4.140625" customWidth="1"/>
    <col min="5" max="5" width="6.85546875" customWidth="1"/>
    <col min="6" max="6" width="9" style="8" customWidth="1"/>
    <col min="7" max="7" width="12.7109375" style="9" customWidth="1"/>
    <col min="8" max="8" width="2" style="9" customWidth="1"/>
    <col min="9" max="9" width="12.7109375" style="50" customWidth="1"/>
  </cols>
  <sheetData>
    <row r="1" spans="1:11" ht="15" x14ac:dyDescent="0.25">
      <c r="A1" s="98" t="s">
        <v>156</v>
      </c>
    </row>
    <row r="3" spans="1:11" ht="18" customHeight="1" x14ac:dyDescent="0.2">
      <c r="A3" s="103" t="s">
        <v>1</v>
      </c>
      <c r="B3" s="103"/>
      <c r="C3" s="10"/>
      <c r="D3" s="10"/>
      <c r="E3" s="10"/>
      <c r="F3" s="11"/>
      <c r="G3" s="12"/>
      <c r="H3" s="12"/>
      <c r="I3" s="51"/>
    </row>
    <row r="5" spans="1:11" x14ac:dyDescent="0.2">
      <c r="B5" s="10"/>
      <c r="C5" s="10"/>
      <c r="D5" s="10"/>
      <c r="E5" s="10"/>
      <c r="F5" s="11"/>
      <c r="G5" s="12"/>
      <c r="H5" s="12"/>
      <c r="I5" s="51"/>
    </row>
    <row r="6" spans="1:11" ht="42" customHeight="1" x14ac:dyDescent="0.2">
      <c r="A6" s="13"/>
      <c r="B6" s="104" t="s">
        <v>121</v>
      </c>
      <c r="C6" s="105"/>
      <c r="D6" s="105"/>
      <c r="E6" s="105"/>
      <c r="F6" s="106" t="s">
        <v>3</v>
      </c>
      <c r="G6" s="106" t="s">
        <v>155</v>
      </c>
      <c r="H6" s="106"/>
      <c r="I6" s="212" t="s">
        <v>154</v>
      </c>
    </row>
    <row r="7" spans="1:11" ht="7.5" customHeight="1" x14ac:dyDescent="0.2"/>
    <row r="8" spans="1:11" x14ac:dyDescent="0.2">
      <c r="B8" s="33" t="s">
        <v>6</v>
      </c>
    </row>
    <row r="9" spans="1:11" ht="9" customHeight="1" x14ac:dyDescent="0.2"/>
    <row r="10" spans="1:11" x14ac:dyDescent="0.2">
      <c r="B10" t="s">
        <v>7</v>
      </c>
      <c r="G10" s="9">
        <v>7567307</v>
      </c>
      <c r="I10" s="9">
        <v>8246326</v>
      </c>
    </row>
    <row r="11" spans="1:11" x14ac:dyDescent="0.2">
      <c r="B11" t="s">
        <v>8</v>
      </c>
      <c r="G11" s="9">
        <v>1343165</v>
      </c>
      <c r="I11" s="9">
        <v>1223620</v>
      </c>
    </row>
    <row r="12" spans="1:11" x14ac:dyDescent="0.2">
      <c r="B12" t="s">
        <v>9</v>
      </c>
      <c r="G12" s="9">
        <v>1021475</v>
      </c>
      <c r="I12" s="9">
        <v>1074072</v>
      </c>
    </row>
    <row r="13" spans="1:11" x14ac:dyDescent="0.2">
      <c r="B13" t="s">
        <v>10</v>
      </c>
      <c r="G13" s="9">
        <v>275721</v>
      </c>
      <c r="I13" s="9">
        <v>270648</v>
      </c>
      <c r="K13" s="50"/>
    </row>
    <row r="14" spans="1:11" ht="7.5" customHeight="1" x14ac:dyDescent="0.2">
      <c r="B14" s="10"/>
      <c r="C14" s="10"/>
      <c r="D14" s="10"/>
      <c r="E14" s="10"/>
      <c r="F14" s="11"/>
      <c r="G14" s="12"/>
      <c r="H14" s="12"/>
      <c r="I14" s="12"/>
    </row>
    <row r="15" spans="1:11" ht="7.5" customHeight="1" x14ac:dyDescent="0.2">
      <c r="I15" s="9"/>
    </row>
    <row r="16" spans="1:11" x14ac:dyDescent="0.2">
      <c r="B16" s="33" t="s">
        <v>12</v>
      </c>
      <c r="I16" s="9"/>
    </row>
    <row r="17" spans="2:9" ht="7.5" customHeight="1" x14ac:dyDescent="0.2">
      <c r="I17" s="9"/>
    </row>
    <row r="18" spans="2:9" x14ac:dyDescent="0.2">
      <c r="B18" t="s">
        <v>13</v>
      </c>
      <c r="G18" s="9">
        <v>8783046</v>
      </c>
      <c r="I18" s="9">
        <v>6828517</v>
      </c>
    </row>
    <row r="19" spans="2:9" x14ac:dyDescent="0.2">
      <c r="B19" t="s">
        <v>15</v>
      </c>
      <c r="G19" s="9">
        <v>9437953</v>
      </c>
      <c r="I19" s="9">
        <v>10918960</v>
      </c>
    </row>
    <row r="20" spans="2:9" x14ac:dyDescent="0.2">
      <c r="B20" t="s">
        <v>16</v>
      </c>
      <c r="G20" s="9">
        <v>1306371</v>
      </c>
      <c r="I20" s="9">
        <v>1545568</v>
      </c>
    </row>
    <row r="21" spans="2:9" x14ac:dyDescent="0.2">
      <c r="B21" t="s">
        <v>18</v>
      </c>
      <c r="G21" s="9">
        <v>2252144</v>
      </c>
      <c r="I21" s="9">
        <v>1375686</v>
      </c>
    </row>
    <row r="22" spans="2:9" ht="7.5" customHeight="1" x14ac:dyDescent="0.2">
      <c r="B22" s="10"/>
      <c r="C22" s="10"/>
      <c r="D22" s="10"/>
      <c r="E22" s="10"/>
      <c r="F22" s="11"/>
      <c r="G22" s="12"/>
      <c r="H22" s="12"/>
      <c r="I22" s="12"/>
    </row>
    <row r="23" spans="2:9" ht="18" customHeight="1" x14ac:dyDescent="0.2">
      <c r="B23" s="107" t="s">
        <v>19</v>
      </c>
      <c r="C23" s="108"/>
      <c r="D23" s="10"/>
      <c r="E23" s="10"/>
      <c r="F23" s="11"/>
      <c r="G23" s="109">
        <f>SUM(G10:G22)</f>
        <v>31987182</v>
      </c>
      <c r="H23" s="109"/>
      <c r="I23" s="109">
        <f>SUM(I10:I22)</f>
        <v>31483397</v>
      </c>
    </row>
    <row r="26" spans="2:9" x14ac:dyDescent="0.2">
      <c r="B26" s="10"/>
      <c r="C26" s="10"/>
      <c r="D26" s="10"/>
      <c r="E26" s="10"/>
      <c r="F26" s="11"/>
      <c r="G26" s="12"/>
      <c r="H26" s="12"/>
      <c r="I26" s="51"/>
    </row>
    <row r="27" spans="2:9" ht="25.5" x14ac:dyDescent="0.2">
      <c r="B27" s="104" t="s">
        <v>124</v>
      </c>
      <c r="C27" s="105"/>
      <c r="D27" s="105"/>
      <c r="E27" s="105"/>
      <c r="F27" s="106" t="s">
        <v>3</v>
      </c>
      <c r="G27" s="106" t="s">
        <v>155</v>
      </c>
      <c r="H27" s="106"/>
      <c r="I27" s="212" t="s">
        <v>154</v>
      </c>
    </row>
    <row r="29" spans="2:9" x14ac:dyDescent="0.2">
      <c r="B29" s="33" t="s">
        <v>21</v>
      </c>
    </row>
    <row r="31" spans="2:9" x14ac:dyDescent="0.2">
      <c r="B31" t="s">
        <v>22</v>
      </c>
      <c r="G31" s="9">
        <v>2973750</v>
      </c>
      <c r="I31" s="9">
        <v>2973750</v>
      </c>
    </row>
    <row r="32" spans="2:9" x14ac:dyDescent="0.2">
      <c r="B32" t="s">
        <v>125</v>
      </c>
      <c r="G32" s="9">
        <v>9003186</v>
      </c>
      <c r="I32" s="9">
        <v>9008184</v>
      </c>
    </row>
    <row r="33" spans="2:11" x14ac:dyDescent="0.2">
      <c r="B33" t="s">
        <v>25</v>
      </c>
      <c r="G33" s="9">
        <v>-43490</v>
      </c>
      <c r="I33" s="9">
        <v>-182167</v>
      </c>
    </row>
    <row r="34" spans="2:11" x14ac:dyDescent="0.2">
      <c r="B34" t="s">
        <v>26</v>
      </c>
      <c r="G34" s="9">
        <v>698704</v>
      </c>
      <c r="I34" s="9">
        <v>-61142</v>
      </c>
    </row>
    <row r="35" spans="2:11" s="33" customFormat="1" x14ac:dyDescent="0.2">
      <c r="B35" s="33" t="s">
        <v>27</v>
      </c>
      <c r="F35" s="110"/>
      <c r="G35" s="111">
        <f>SUM(G31:G34)</f>
        <v>12632150</v>
      </c>
      <c r="H35" s="111"/>
      <c r="I35" s="111">
        <f>SUM(I31:I34)</f>
        <v>11738625</v>
      </c>
    </row>
    <row r="36" spans="2:11" x14ac:dyDescent="0.2">
      <c r="I36" s="9"/>
    </row>
    <row r="37" spans="2:11" x14ac:dyDescent="0.2">
      <c r="B37" s="33"/>
      <c r="I37" s="9"/>
    </row>
    <row r="38" spans="2:11" ht="7.5" customHeight="1" x14ac:dyDescent="0.2">
      <c r="B38" s="10"/>
      <c r="C38" s="10"/>
      <c r="D38" s="10"/>
      <c r="E38" s="10"/>
      <c r="F38" s="11"/>
      <c r="G38" s="12"/>
      <c r="H38" s="12"/>
      <c r="I38" s="12"/>
    </row>
    <row r="39" spans="2:11" ht="7.5" customHeight="1" x14ac:dyDescent="0.2">
      <c r="I39" s="9"/>
    </row>
    <row r="40" spans="2:11" x14ac:dyDescent="0.2">
      <c r="B40" s="33" t="s">
        <v>28</v>
      </c>
      <c r="G40" s="9">
        <v>387384</v>
      </c>
      <c r="I40" s="9">
        <v>334500</v>
      </c>
    </row>
    <row r="41" spans="2:11" ht="7.5" customHeight="1" x14ac:dyDescent="0.2">
      <c r="B41" s="112"/>
      <c r="C41" s="10"/>
      <c r="D41" s="10"/>
      <c r="E41" s="10"/>
      <c r="F41" s="11"/>
      <c r="G41" s="12"/>
      <c r="H41" s="12"/>
      <c r="I41" s="12"/>
    </row>
    <row r="42" spans="2:11" ht="7.5" customHeight="1" x14ac:dyDescent="0.2">
      <c r="I42" s="9"/>
    </row>
    <row r="43" spans="2:11" x14ac:dyDescent="0.2">
      <c r="B43" s="33" t="s">
        <v>29</v>
      </c>
      <c r="I43" s="9"/>
    </row>
    <row r="44" spans="2:11" ht="7.5" customHeight="1" x14ac:dyDescent="0.2">
      <c r="I44" s="9"/>
    </row>
    <row r="45" spans="2:11" x14ac:dyDescent="0.2">
      <c r="B45" t="s">
        <v>30</v>
      </c>
      <c r="G45" s="9">
        <v>8997936</v>
      </c>
      <c r="I45" s="9">
        <v>8983026</v>
      </c>
      <c r="K45" s="50"/>
    </row>
    <row r="46" spans="2:11" x14ac:dyDescent="0.2">
      <c r="B46" t="s">
        <v>31</v>
      </c>
      <c r="G46" s="9">
        <v>4951998</v>
      </c>
      <c r="I46" s="9">
        <v>4317928</v>
      </c>
    </row>
    <row r="47" spans="2:11" x14ac:dyDescent="0.2">
      <c r="B47" t="s">
        <v>33</v>
      </c>
      <c r="G47" s="9">
        <v>5017714</v>
      </c>
      <c r="I47" s="9">
        <v>6109318</v>
      </c>
    </row>
    <row r="48" spans="2:11" x14ac:dyDescent="0.2">
      <c r="B48" s="10"/>
      <c r="C48" s="10"/>
      <c r="D48" s="10"/>
      <c r="E48" s="10"/>
      <c r="F48" s="11"/>
      <c r="G48" s="12"/>
      <c r="H48" s="12"/>
      <c r="I48" s="12"/>
    </row>
    <row r="49" spans="2:9" ht="18.75" customHeight="1" x14ac:dyDescent="0.2">
      <c r="B49" s="107" t="s">
        <v>34</v>
      </c>
      <c r="C49" s="108"/>
      <c r="D49" s="10"/>
      <c r="E49" s="10"/>
      <c r="F49" s="11"/>
      <c r="G49" s="109">
        <f>SUM(G35:G48)</f>
        <v>31987182</v>
      </c>
      <c r="H49" s="109"/>
      <c r="I49" s="109">
        <f>SUM(I35:I48)</f>
        <v>31483397</v>
      </c>
    </row>
  </sheetData>
  <pageMargins left="0.41" right="0.36" top="0.984251969" bottom="0.984251969" header="0.4921259845" footer="0.492125984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zoomScale="90" workbookViewId="0">
      <selection activeCell="G1" sqref="G1:H65536"/>
    </sheetView>
  </sheetViews>
  <sheetFormatPr baseColWidth="10" defaultRowHeight="12.75" x14ac:dyDescent="0.2"/>
  <cols>
    <col min="1" max="1" width="4.140625" customWidth="1"/>
    <col min="5" max="5" width="6.85546875" customWidth="1"/>
    <col min="6" max="6" width="9" style="8" customWidth="1"/>
    <col min="7" max="7" width="12.7109375" style="9" customWidth="1"/>
    <col min="8" max="8" width="2" style="9" customWidth="1"/>
    <col min="9" max="9" width="12.7109375" style="50" customWidth="1"/>
  </cols>
  <sheetData>
    <row r="1" spans="1:11" ht="15" x14ac:dyDescent="0.25">
      <c r="A1" s="98" t="s">
        <v>159</v>
      </c>
    </row>
    <row r="3" spans="1:11" ht="18" customHeight="1" x14ac:dyDescent="0.2">
      <c r="A3" s="103" t="s">
        <v>1</v>
      </c>
      <c r="B3" s="103"/>
      <c r="C3" s="10"/>
      <c r="D3" s="10"/>
      <c r="E3" s="10"/>
      <c r="F3" s="11"/>
      <c r="G3" s="12"/>
      <c r="H3" s="12"/>
      <c r="I3" s="51"/>
    </row>
    <row r="5" spans="1:11" x14ac:dyDescent="0.2">
      <c r="B5" s="10"/>
      <c r="C5" s="10"/>
      <c r="D5" s="10"/>
      <c r="E5" s="10"/>
      <c r="F5" s="11"/>
      <c r="G5" s="12"/>
      <c r="H5" s="12"/>
      <c r="I5" s="51"/>
    </row>
    <row r="6" spans="1:11" ht="42" customHeight="1" x14ac:dyDescent="0.2">
      <c r="A6" s="13"/>
      <c r="B6" s="104" t="s">
        <v>121</v>
      </c>
      <c r="C6" s="105"/>
      <c r="D6" s="105"/>
      <c r="E6" s="105"/>
      <c r="F6" s="106" t="s">
        <v>3</v>
      </c>
      <c r="G6" s="106" t="s">
        <v>160</v>
      </c>
      <c r="H6" s="106"/>
      <c r="I6" s="212" t="s">
        <v>161</v>
      </c>
    </row>
    <row r="7" spans="1:11" ht="7.5" customHeight="1" x14ac:dyDescent="0.2"/>
    <row r="8" spans="1:11" x14ac:dyDescent="0.2">
      <c r="B8" s="33" t="s">
        <v>6</v>
      </c>
    </row>
    <row r="9" spans="1:11" ht="9" customHeight="1" x14ac:dyDescent="0.2"/>
    <row r="10" spans="1:11" x14ac:dyDescent="0.2">
      <c r="B10" t="s">
        <v>7</v>
      </c>
      <c r="G10" s="9">
        <v>8751976</v>
      </c>
      <c r="I10" s="9">
        <v>9412818</v>
      </c>
    </row>
    <row r="11" spans="1:11" x14ac:dyDescent="0.2">
      <c r="B11" t="s">
        <v>8</v>
      </c>
      <c r="G11" s="9">
        <v>1151944</v>
      </c>
      <c r="I11" s="9">
        <v>629441</v>
      </c>
    </row>
    <row r="12" spans="1:11" x14ac:dyDescent="0.2">
      <c r="B12" t="s">
        <v>9</v>
      </c>
      <c r="G12" s="9">
        <v>1076749</v>
      </c>
      <c r="I12" s="9">
        <v>917684</v>
      </c>
    </row>
    <row r="13" spans="1:11" x14ac:dyDescent="0.2">
      <c r="B13" t="s">
        <v>10</v>
      </c>
      <c r="G13" s="9">
        <v>1208462</v>
      </c>
      <c r="I13" s="9">
        <v>108298</v>
      </c>
      <c r="K13" s="50"/>
    </row>
    <row r="14" spans="1:11" ht="7.5" customHeight="1" x14ac:dyDescent="0.2">
      <c r="B14" s="10"/>
      <c r="C14" s="10"/>
      <c r="D14" s="10"/>
      <c r="E14" s="10"/>
      <c r="F14" s="11"/>
      <c r="G14" s="12"/>
      <c r="H14" s="12"/>
      <c r="I14" s="12"/>
    </row>
    <row r="15" spans="1:11" ht="7.5" customHeight="1" x14ac:dyDescent="0.2">
      <c r="I15" s="9"/>
    </row>
    <row r="16" spans="1:11" x14ac:dyDescent="0.2">
      <c r="B16" s="33" t="s">
        <v>12</v>
      </c>
      <c r="I16" s="9"/>
    </row>
    <row r="17" spans="2:9" ht="7.5" customHeight="1" x14ac:dyDescent="0.2">
      <c r="I17" s="9"/>
    </row>
    <row r="18" spans="2:9" x14ac:dyDescent="0.2">
      <c r="B18" t="s">
        <v>13</v>
      </c>
      <c r="G18" s="9">
        <v>6783877</v>
      </c>
      <c r="I18" s="9">
        <v>6312302</v>
      </c>
    </row>
    <row r="19" spans="2:9" x14ac:dyDescent="0.2">
      <c r="B19" t="s">
        <v>15</v>
      </c>
      <c r="G19" s="9">
        <v>11382076</v>
      </c>
      <c r="I19" s="9">
        <v>11912492</v>
      </c>
    </row>
    <row r="20" spans="2:9" x14ac:dyDescent="0.2">
      <c r="B20" t="s">
        <v>16</v>
      </c>
      <c r="G20" s="9">
        <v>2001642</v>
      </c>
      <c r="I20" s="9">
        <v>3015325</v>
      </c>
    </row>
    <row r="21" spans="2:9" x14ac:dyDescent="0.2">
      <c r="B21" t="s">
        <v>18</v>
      </c>
      <c r="G21" s="9">
        <v>2347553</v>
      </c>
      <c r="I21" s="9">
        <v>1960321</v>
      </c>
    </row>
    <row r="22" spans="2:9" ht="7.5" customHeight="1" x14ac:dyDescent="0.2">
      <c r="B22" s="10"/>
      <c r="C22" s="10"/>
      <c r="D22" s="10"/>
      <c r="E22" s="10"/>
      <c r="F22" s="11"/>
      <c r="G22" s="12"/>
      <c r="H22" s="12"/>
      <c r="I22" s="12"/>
    </row>
    <row r="23" spans="2:9" ht="18" customHeight="1" x14ac:dyDescent="0.2">
      <c r="B23" s="107" t="s">
        <v>19</v>
      </c>
      <c r="C23" s="108"/>
      <c r="D23" s="10"/>
      <c r="E23" s="10"/>
      <c r="F23" s="11"/>
      <c r="G23" s="109">
        <f>SUM(G10:G22)</f>
        <v>34704279</v>
      </c>
      <c r="H23" s="109"/>
      <c r="I23" s="109">
        <f>SUM(I10:I22)</f>
        <v>34268681</v>
      </c>
    </row>
    <row r="26" spans="2:9" x14ac:dyDescent="0.2">
      <c r="B26" s="10"/>
      <c r="C26" s="10"/>
      <c r="D26" s="10"/>
      <c r="E26" s="10"/>
      <c r="F26" s="11"/>
      <c r="G26" s="12"/>
      <c r="H26" s="12"/>
      <c r="I26" s="51"/>
    </row>
    <row r="27" spans="2:9" ht="25.5" x14ac:dyDescent="0.2">
      <c r="B27" s="104" t="s">
        <v>124</v>
      </c>
      <c r="C27" s="105"/>
      <c r="D27" s="105"/>
      <c r="E27" s="105"/>
      <c r="F27" s="106" t="s">
        <v>3</v>
      </c>
      <c r="G27" s="106" t="s">
        <v>160</v>
      </c>
      <c r="H27" s="106"/>
      <c r="I27" s="212" t="s">
        <v>161</v>
      </c>
    </row>
    <row r="29" spans="2:9" x14ac:dyDescent="0.2">
      <c r="B29" s="33" t="s">
        <v>21</v>
      </c>
    </row>
    <row r="31" spans="2:9" x14ac:dyDescent="0.2">
      <c r="B31" t="s">
        <v>22</v>
      </c>
      <c r="G31" s="9">
        <v>2973750</v>
      </c>
      <c r="I31" s="9">
        <v>2973750</v>
      </c>
    </row>
    <row r="32" spans="2:9" x14ac:dyDescent="0.2">
      <c r="B32" t="s">
        <v>125</v>
      </c>
      <c r="G32" s="9">
        <v>10111334</v>
      </c>
      <c r="I32" s="9">
        <v>9297047</v>
      </c>
    </row>
    <row r="33" spans="2:11" x14ac:dyDescent="0.2">
      <c r="B33" t="s">
        <v>25</v>
      </c>
      <c r="G33" s="9">
        <v>-106320</v>
      </c>
      <c r="I33" s="9">
        <v>-134909</v>
      </c>
    </row>
    <row r="34" spans="2:11" x14ac:dyDescent="0.2">
      <c r="B34" t="s">
        <v>26</v>
      </c>
      <c r="G34" s="9">
        <v>-103992</v>
      </c>
      <c r="I34" s="9">
        <v>203574</v>
      </c>
    </row>
    <row r="35" spans="2:11" s="33" customFormat="1" x14ac:dyDescent="0.2">
      <c r="B35" s="33" t="s">
        <v>27</v>
      </c>
      <c r="F35" s="110"/>
      <c r="G35" s="111">
        <f>SUM(G31:G34)</f>
        <v>12874772</v>
      </c>
      <c r="H35" s="111"/>
      <c r="I35" s="111">
        <f>SUM(I31:I34)</f>
        <v>12339462</v>
      </c>
    </row>
    <row r="36" spans="2:11" x14ac:dyDescent="0.2">
      <c r="I36" s="9"/>
    </row>
    <row r="37" spans="2:11" x14ac:dyDescent="0.2">
      <c r="B37" s="33"/>
      <c r="I37" s="9"/>
    </row>
    <row r="38" spans="2:11" ht="7.5" customHeight="1" x14ac:dyDescent="0.2">
      <c r="B38" s="10"/>
      <c r="C38" s="10"/>
      <c r="D38" s="10"/>
      <c r="E38" s="10"/>
      <c r="F38" s="11"/>
      <c r="G38" s="12"/>
      <c r="H38" s="12"/>
      <c r="I38" s="12"/>
    </row>
    <row r="39" spans="2:11" ht="7.5" customHeight="1" x14ac:dyDescent="0.2">
      <c r="I39" s="9"/>
    </row>
    <row r="40" spans="2:11" x14ac:dyDescent="0.2">
      <c r="B40" s="33" t="s">
        <v>28</v>
      </c>
      <c r="G40" s="9">
        <v>268979</v>
      </c>
      <c r="I40" s="9">
        <v>233117</v>
      </c>
    </row>
    <row r="41" spans="2:11" ht="7.5" customHeight="1" x14ac:dyDescent="0.2">
      <c r="B41" s="112"/>
      <c r="C41" s="10"/>
      <c r="D41" s="10"/>
      <c r="E41" s="10"/>
      <c r="F41" s="11"/>
      <c r="G41" s="12"/>
      <c r="H41" s="12"/>
      <c r="I41" s="12"/>
    </row>
    <row r="42" spans="2:11" ht="7.5" customHeight="1" x14ac:dyDescent="0.2">
      <c r="I42" s="9"/>
    </row>
    <row r="43" spans="2:11" x14ac:dyDescent="0.2">
      <c r="B43" s="33" t="s">
        <v>29</v>
      </c>
      <c r="I43" s="9"/>
    </row>
    <row r="44" spans="2:11" ht="7.5" customHeight="1" x14ac:dyDescent="0.2">
      <c r="I44" s="9"/>
    </row>
    <row r="45" spans="2:11" x14ac:dyDescent="0.2">
      <c r="B45" t="s">
        <v>30</v>
      </c>
      <c r="G45" s="9">
        <v>8086997</v>
      </c>
      <c r="I45" s="9">
        <v>8981678</v>
      </c>
      <c r="K45" s="50"/>
    </row>
    <row r="46" spans="2:11" x14ac:dyDescent="0.2">
      <c r="B46" t="s">
        <v>31</v>
      </c>
      <c r="G46" s="9">
        <v>6368578</v>
      </c>
      <c r="I46" s="9">
        <v>6437731</v>
      </c>
    </row>
    <row r="47" spans="2:11" x14ac:dyDescent="0.2">
      <c r="B47" t="s">
        <v>33</v>
      </c>
      <c r="G47" s="9">
        <v>7104953</v>
      </c>
      <c r="I47" s="9">
        <v>6276693</v>
      </c>
    </row>
    <row r="48" spans="2:11" x14ac:dyDescent="0.2">
      <c r="B48" s="10"/>
      <c r="C48" s="10"/>
      <c r="D48" s="10"/>
      <c r="E48" s="10"/>
      <c r="F48" s="11"/>
      <c r="G48" s="12"/>
      <c r="H48" s="12"/>
      <c r="I48" s="12"/>
    </row>
    <row r="49" spans="2:9" ht="18.75" customHeight="1" x14ac:dyDescent="0.2">
      <c r="B49" s="107" t="s">
        <v>34</v>
      </c>
      <c r="C49" s="108"/>
      <c r="D49" s="10"/>
      <c r="E49" s="10"/>
      <c r="F49" s="11"/>
      <c r="G49" s="109">
        <f>SUM(G35:G48)</f>
        <v>34704279</v>
      </c>
      <c r="H49" s="109"/>
      <c r="I49" s="109">
        <f>SUM(I35:I48)</f>
        <v>34268681</v>
      </c>
    </row>
  </sheetData>
  <pageMargins left="0.41" right="0.36" top="0.984251969" bottom="0.984251969" header="0.4921259845" footer="0.4921259845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zoomScale="90" workbookViewId="0">
      <selection activeCell="G1" sqref="G1:H65536"/>
    </sheetView>
  </sheetViews>
  <sheetFormatPr baseColWidth="10" defaultRowHeight="12.75" outlineLevelRow="1" x14ac:dyDescent="0.2"/>
  <cols>
    <col min="1" max="1" width="4.140625" customWidth="1"/>
    <col min="2" max="2" width="59" customWidth="1"/>
    <col min="3" max="4" width="11.42578125" style="9"/>
    <col min="5" max="5" width="11.42578125" style="49"/>
  </cols>
  <sheetData>
    <row r="1" spans="1:7" ht="18" customHeight="1" x14ac:dyDescent="0.2">
      <c r="A1" s="5" t="s">
        <v>35</v>
      </c>
      <c r="B1" s="5"/>
      <c r="C1" s="6"/>
      <c r="D1" s="7"/>
      <c r="E1" s="7"/>
      <c r="F1" s="7"/>
      <c r="G1" s="7"/>
    </row>
    <row r="3" spans="1:7" ht="13.5" thickBot="1" x14ac:dyDescent="0.25">
      <c r="B3" s="10"/>
      <c r="C3" s="12"/>
      <c r="D3" s="12"/>
      <c r="E3" s="35"/>
    </row>
    <row r="4" spans="1:7" ht="26.25" customHeight="1" thickBot="1" x14ac:dyDescent="0.25">
      <c r="A4" s="13"/>
      <c r="B4" s="14" t="s">
        <v>36</v>
      </c>
      <c r="C4" s="15" t="s">
        <v>37</v>
      </c>
      <c r="D4" s="15" t="s">
        <v>38</v>
      </c>
      <c r="E4" s="15" t="s">
        <v>39</v>
      </c>
      <c r="F4" s="15" t="s">
        <v>40</v>
      </c>
      <c r="G4" s="16" t="s">
        <v>38</v>
      </c>
    </row>
    <row r="5" spans="1:7" ht="7.5" customHeight="1" x14ac:dyDescent="0.2">
      <c r="B5" s="36"/>
      <c r="C5" s="37"/>
      <c r="D5" s="37"/>
      <c r="E5" s="38"/>
      <c r="F5" s="37"/>
      <c r="G5" s="37"/>
    </row>
    <row r="6" spans="1:7" ht="9" customHeight="1" thickBot="1" x14ac:dyDescent="0.25">
      <c r="B6" s="39"/>
      <c r="C6" s="40"/>
      <c r="D6" s="40"/>
      <c r="E6" s="41"/>
      <c r="F6" s="40"/>
      <c r="G6" s="40"/>
    </row>
    <row r="7" spans="1:7" ht="13.5" customHeight="1" thickBot="1" x14ac:dyDescent="0.25">
      <c r="B7" s="17" t="s">
        <v>41</v>
      </c>
      <c r="C7" s="42">
        <v>22227789</v>
      </c>
      <c r="D7" s="43">
        <f>C7/$C$7</f>
        <v>1</v>
      </c>
      <c r="E7" s="44">
        <f>C7/F7-1</f>
        <v>-3.4344648394806443E-2</v>
      </c>
      <c r="F7" s="42">
        <v>23018346</v>
      </c>
      <c r="G7" s="43">
        <f t="shared" ref="G7:G14" si="0">F7/$F$7</f>
        <v>1</v>
      </c>
    </row>
    <row r="8" spans="1:7" ht="13.5" customHeight="1" thickBot="1" x14ac:dyDescent="0.25">
      <c r="B8" s="19" t="s">
        <v>42</v>
      </c>
      <c r="C8" s="18">
        <v>194769</v>
      </c>
      <c r="D8" s="45">
        <f t="shared" ref="D8:D14" si="1">C8/$C$7</f>
        <v>8.7624099724898409E-3</v>
      </c>
      <c r="E8" s="46">
        <f t="shared" ref="E8:E15" si="2">C8/F8-1</f>
        <v>-0.19666322953186222</v>
      </c>
      <c r="F8" s="18">
        <v>242450</v>
      </c>
      <c r="G8" s="45">
        <f t="shared" si="0"/>
        <v>1.053290275504591E-2</v>
      </c>
    </row>
    <row r="9" spans="1:7" ht="13.5" customHeight="1" thickBot="1" x14ac:dyDescent="0.25">
      <c r="B9" s="19" t="s">
        <v>43</v>
      </c>
      <c r="C9" s="18">
        <v>13009106</v>
      </c>
      <c r="D9" s="45">
        <f t="shared" si="1"/>
        <v>0.58526315865244172</v>
      </c>
      <c r="E9" s="46">
        <f t="shared" si="2"/>
        <v>1.4666012327206435E-2</v>
      </c>
      <c r="F9" s="18">
        <v>12821072</v>
      </c>
      <c r="G9" s="45">
        <f t="shared" si="0"/>
        <v>0.55699362586694978</v>
      </c>
    </row>
    <row r="10" spans="1:7" ht="13.5" customHeight="1" thickBot="1" x14ac:dyDescent="0.25">
      <c r="B10" s="19" t="s">
        <v>44</v>
      </c>
      <c r="C10" s="18">
        <v>4534032</v>
      </c>
      <c r="D10" s="45">
        <f t="shared" si="1"/>
        <v>0.20398034190445122</v>
      </c>
      <c r="E10" s="46">
        <f t="shared" si="2"/>
        <v>-3.1516089557001803E-2</v>
      </c>
      <c r="F10" s="18">
        <v>4681577</v>
      </c>
      <c r="G10" s="45">
        <f t="shared" si="0"/>
        <v>0.20338459592187902</v>
      </c>
    </row>
    <row r="11" spans="1:7" ht="13.5" customHeight="1" thickBot="1" x14ac:dyDescent="0.25">
      <c r="B11" s="19" t="s">
        <v>45</v>
      </c>
      <c r="C11" s="18">
        <v>4405485</v>
      </c>
      <c r="D11" s="45">
        <f t="shared" si="1"/>
        <v>0.19819717561652217</v>
      </c>
      <c r="E11" s="46">
        <f t="shared" si="2"/>
        <v>-7.333888777991604E-2</v>
      </c>
      <c r="F11" s="18">
        <v>4754149</v>
      </c>
      <c r="G11" s="45">
        <f t="shared" si="0"/>
        <v>0.20653738544029185</v>
      </c>
    </row>
    <row r="12" spans="1:7" ht="13.5" customHeight="1" thickBot="1" x14ac:dyDescent="0.25">
      <c r="B12" s="19" t="s">
        <v>46</v>
      </c>
      <c r="C12" s="18">
        <v>406987</v>
      </c>
      <c r="D12" s="45">
        <f t="shared" si="1"/>
        <v>1.8309828296462594E-2</v>
      </c>
      <c r="E12" s="46">
        <f t="shared" si="2"/>
        <v>9.5570737905266379E-2</v>
      </c>
      <c r="F12" s="18">
        <v>371484</v>
      </c>
      <c r="G12" s="45">
        <f t="shared" si="0"/>
        <v>1.6138605267294184E-2</v>
      </c>
    </row>
    <row r="13" spans="1:7" ht="13.5" customHeight="1" thickBot="1" x14ac:dyDescent="0.25">
      <c r="B13" s="19" t="s">
        <v>47</v>
      </c>
      <c r="C13" s="18">
        <v>346873</v>
      </c>
      <c r="D13" s="45">
        <f t="shared" si="1"/>
        <v>1.5605375775341398E-2</v>
      </c>
      <c r="E13" s="46">
        <f t="shared" si="2"/>
        <v>4.1566825811488517E-2</v>
      </c>
      <c r="F13" s="18">
        <v>333030</v>
      </c>
      <c r="G13" s="45">
        <f t="shared" si="0"/>
        <v>1.4468024765984489E-2</v>
      </c>
    </row>
    <row r="14" spans="1:7" ht="13.5" customHeight="1" thickBot="1" x14ac:dyDescent="0.25">
      <c r="B14" s="19" t="s">
        <v>48</v>
      </c>
      <c r="C14" s="18">
        <v>2483</v>
      </c>
      <c r="D14" s="45">
        <f t="shared" si="1"/>
        <v>1.1170701683374807E-4</v>
      </c>
      <c r="E14" s="46">
        <f t="shared" si="2"/>
        <v>-0.46138828633405637</v>
      </c>
      <c r="F14" s="18">
        <v>4610</v>
      </c>
      <c r="G14" s="45">
        <f t="shared" si="0"/>
        <v>2.0027503279340748E-4</v>
      </c>
    </row>
    <row r="15" spans="1:7" ht="13.5" thickBot="1" x14ac:dyDescent="0.25">
      <c r="B15" s="17" t="s">
        <v>49</v>
      </c>
      <c r="C15" s="42">
        <f>C7+C8-C9-C10-C11-C12-C13-C14</f>
        <v>-282408</v>
      </c>
      <c r="D15" s="43">
        <f>C15/$C$7</f>
        <v>-1.2705177289563078E-2</v>
      </c>
      <c r="E15" s="44">
        <f t="shared" si="2"/>
        <v>-1.9577243161485924</v>
      </c>
      <c r="F15" s="42">
        <f>F7+F8-F9-F10-F11-F12-F13-F14</f>
        <v>294874</v>
      </c>
      <c r="G15" s="43">
        <f>F15/$F$7</f>
        <v>1.2810390459853197E-2</v>
      </c>
    </row>
    <row r="16" spans="1:7" ht="7.5" customHeight="1" thickBot="1" x14ac:dyDescent="0.25">
      <c r="C16"/>
      <c r="D16" s="47"/>
      <c r="E16"/>
      <c r="G16" s="47"/>
    </row>
    <row r="17" spans="2:8" ht="13.5" thickBot="1" x14ac:dyDescent="0.25">
      <c r="B17" s="19" t="s">
        <v>50</v>
      </c>
      <c r="C17" s="18">
        <v>183698</v>
      </c>
      <c r="D17" s="45">
        <f>C17/$C$7</f>
        <v>8.2643397415730381E-3</v>
      </c>
      <c r="E17" s="46">
        <f>C17/F17-1</f>
        <v>0.20517766231039736</v>
      </c>
      <c r="F17" s="18">
        <v>152424</v>
      </c>
      <c r="G17" s="45">
        <f>F17/$F$7</f>
        <v>6.6218485029289247E-3</v>
      </c>
    </row>
    <row r="18" spans="2:8" ht="7.5" customHeight="1" thickBot="1" x14ac:dyDescent="0.25">
      <c r="C18"/>
      <c r="D18" s="47"/>
      <c r="E18"/>
      <c r="G18" s="47"/>
    </row>
    <row r="19" spans="2:8" ht="13.5" thickBot="1" x14ac:dyDescent="0.25">
      <c r="B19" s="17" t="s">
        <v>51</v>
      </c>
      <c r="C19" s="42">
        <f>C15+C17</f>
        <v>-98710</v>
      </c>
      <c r="D19" s="43">
        <f>C19/$C$7</f>
        <v>-4.4408375479900409E-3</v>
      </c>
      <c r="E19" s="44">
        <f>C19/F19-1</f>
        <v>-1.2206806200787841</v>
      </c>
      <c r="F19" s="42">
        <f>F15+F17</f>
        <v>447298</v>
      </c>
      <c r="G19" s="43">
        <f>F19/$F$7</f>
        <v>1.9432238962782122E-2</v>
      </c>
    </row>
    <row r="20" spans="2:8" ht="7.5" customHeight="1" thickBot="1" x14ac:dyDescent="0.25">
      <c r="C20"/>
      <c r="D20" s="47"/>
      <c r="E20"/>
      <c r="G20" s="47"/>
    </row>
    <row r="21" spans="2:8" ht="13.5" thickBot="1" x14ac:dyDescent="0.25">
      <c r="B21" s="19" t="s">
        <v>52</v>
      </c>
      <c r="C21" s="18">
        <v>-39694</v>
      </c>
      <c r="D21" s="45">
        <f>C21/$C$7</f>
        <v>-1.7857826525166313E-3</v>
      </c>
      <c r="E21" s="46" t="s">
        <v>53</v>
      </c>
      <c r="F21" s="18">
        <v>4882127</v>
      </c>
      <c r="G21" s="45">
        <f>F21/$F$7</f>
        <v>0.21209721150251196</v>
      </c>
    </row>
    <row r="22" spans="2:8" ht="7.5" customHeight="1" thickBot="1" x14ac:dyDescent="0.25">
      <c r="C22"/>
      <c r="D22" s="47"/>
      <c r="E22"/>
      <c r="G22" s="47"/>
    </row>
    <row r="23" spans="2:8" ht="13.5" thickBot="1" x14ac:dyDescent="0.25">
      <c r="B23" s="19" t="s">
        <v>54</v>
      </c>
      <c r="C23" s="18">
        <v>0</v>
      </c>
      <c r="D23" s="45">
        <f>C23/$C$7</f>
        <v>0</v>
      </c>
      <c r="E23" s="46"/>
      <c r="F23" s="18">
        <v>0</v>
      </c>
      <c r="G23" s="45">
        <f>F23/$F$7</f>
        <v>0</v>
      </c>
    </row>
    <row r="24" spans="2:8" ht="7.5" customHeight="1" thickBot="1" x14ac:dyDescent="0.25">
      <c r="C24"/>
      <c r="D24" s="47"/>
      <c r="E24"/>
      <c r="G24" s="47"/>
    </row>
    <row r="25" spans="2:8" ht="13.5" thickBot="1" x14ac:dyDescent="0.25">
      <c r="B25" s="19" t="s">
        <v>55</v>
      </c>
      <c r="C25" s="18">
        <v>903</v>
      </c>
      <c r="D25" s="45">
        <f>C25/$C$7</f>
        <v>4.062482327864458E-5</v>
      </c>
      <c r="E25" s="46">
        <f>C25/F25-1</f>
        <v>-0.99688730170767526</v>
      </c>
      <c r="F25" s="18">
        <v>290102</v>
      </c>
      <c r="G25" s="45">
        <f>F25/$F$7</f>
        <v>1.2603077562566832E-2</v>
      </c>
    </row>
    <row r="26" spans="2:8" ht="7.5" customHeight="1" thickBot="1" x14ac:dyDescent="0.25">
      <c r="C26"/>
      <c r="D26" s="47"/>
      <c r="E26"/>
      <c r="G26" s="47"/>
    </row>
    <row r="27" spans="2:8" ht="13.5" thickBot="1" x14ac:dyDescent="0.25">
      <c r="B27" s="19" t="s">
        <v>56</v>
      </c>
      <c r="C27" s="18">
        <v>-17623</v>
      </c>
      <c r="D27" s="45">
        <f>C27/$C$7</f>
        <v>-7.9283639051999275E-4</v>
      </c>
      <c r="E27" s="46">
        <f>C27/F27-1</f>
        <v>-2.0796422226306439</v>
      </c>
      <c r="F27" s="18">
        <v>16323</v>
      </c>
      <c r="G27" s="45">
        <f>F27/$F$7</f>
        <v>7.0913001307739483E-4</v>
      </c>
    </row>
    <row r="28" spans="2:8" ht="7.5" customHeight="1" thickBot="1" x14ac:dyDescent="0.25">
      <c r="C28"/>
      <c r="D28" s="47"/>
      <c r="E28"/>
      <c r="G28" s="47"/>
    </row>
    <row r="29" spans="2:8" ht="13.5" thickBot="1" x14ac:dyDescent="0.25">
      <c r="B29" s="17" t="s">
        <v>57</v>
      </c>
      <c r="C29" s="42">
        <f>C19+C21-C23-C25-C27</f>
        <v>-121684</v>
      </c>
      <c r="D29" s="43">
        <f>C29/$C$7</f>
        <v>-5.4744086332653239E-3</v>
      </c>
      <c r="E29" s="44">
        <f>C29/F29-1</f>
        <v>-1.024225363328688</v>
      </c>
      <c r="F29" s="42">
        <f>F19+F21-F23-F25-F27</f>
        <v>5023000</v>
      </c>
      <c r="G29" s="43">
        <f>F29/$F$7</f>
        <v>0.21821724288964986</v>
      </c>
    </row>
    <row r="30" spans="2:8" ht="7.5" customHeight="1" thickBot="1" x14ac:dyDescent="0.25">
      <c r="C30"/>
      <c r="D30" s="47"/>
      <c r="E30"/>
      <c r="G30" s="47"/>
    </row>
    <row r="31" spans="2:8" ht="12.75" customHeight="1" thickBot="1" x14ac:dyDescent="0.25">
      <c r="B31" s="19" t="s">
        <v>58</v>
      </c>
      <c r="C31" s="18">
        <v>0</v>
      </c>
      <c r="D31" s="45">
        <f>C31/$C$7</f>
        <v>0</v>
      </c>
      <c r="E31" s="46"/>
      <c r="F31" s="18">
        <v>-8941</v>
      </c>
      <c r="G31" s="45">
        <f>F31/$F$7</f>
        <v>-3.8842929896005558E-4</v>
      </c>
      <c r="H31" s="47"/>
    </row>
    <row r="32" spans="2:8" ht="7.5" customHeight="1" thickBot="1" x14ac:dyDescent="0.25">
      <c r="C32"/>
      <c r="D32" s="47"/>
      <c r="E32"/>
      <c r="G32" s="47"/>
    </row>
    <row r="33" spans="2:7" ht="13.5" outlineLevel="1" thickBot="1" x14ac:dyDescent="0.25">
      <c r="B33" s="19" t="s">
        <v>59</v>
      </c>
      <c r="C33" s="18">
        <v>0</v>
      </c>
      <c r="D33" s="45">
        <f>C33/$C$7</f>
        <v>0</v>
      </c>
      <c r="E33" s="46"/>
      <c r="F33" s="18"/>
      <c r="G33" s="45"/>
    </row>
    <row r="34" spans="2:7" ht="7.5" customHeight="1" outlineLevel="1" thickBot="1" x14ac:dyDescent="0.25">
      <c r="C34"/>
      <c r="D34" s="47"/>
      <c r="E34"/>
      <c r="G34" s="47"/>
    </row>
    <row r="35" spans="2:7" ht="13.5" thickBot="1" x14ac:dyDescent="0.25">
      <c r="B35" s="17" t="s">
        <v>60</v>
      </c>
      <c r="C35" s="42">
        <f>C29+C33+C31</f>
        <v>-121684</v>
      </c>
      <c r="D35" s="43">
        <f>C35/$C$7</f>
        <v>-5.4744086332653239E-3</v>
      </c>
      <c r="E35" s="44">
        <f>C35/F35-1</f>
        <v>-1.0242685616583291</v>
      </c>
      <c r="F35" s="42">
        <f>F29+F33+F31</f>
        <v>5014059</v>
      </c>
      <c r="G35" s="43">
        <f>F35/$F$7</f>
        <v>0.21782881359068978</v>
      </c>
    </row>
    <row r="36" spans="2:7" ht="7.5" customHeight="1" thickBot="1" x14ac:dyDescent="0.25">
      <c r="C36"/>
      <c r="D36"/>
      <c r="E36"/>
    </row>
    <row r="37" spans="2:7" ht="13.5" thickBot="1" x14ac:dyDescent="0.25">
      <c r="B37" s="17" t="s">
        <v>61</v>
      </c>
      <c r="C37" s="48">
        <f>C35/4875000</f>
        <v>-2.4960820512820513E-2</v>
      </c>
      <c r="D37" s="44"/>
      <c r="E37" s="44"/>
      <c r="F37" s="48">
        <f>F35/4875000</f>
        <v>1.0285249230769231</v>
      </c>
      <c r="G37" s="44"/>
    </row>
    <row r="38" spans="2:7" ht="7.5" customHeight="1" x14ac:dyDescent="0.2"/>
  </sheetData>
  <pageMargins left="0.35" right="0.36" top="0.984251969" bottom="0.984251969" header="0.4921259845" footer="0.4921259845"/>
  <pageSetup paperSize="9" scale="80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="90" workbookViewId="0">
      <selection activeCell="G1" sqref="G1:H65536"/>
    </sheetView>
  </sheetViews>
  <sheetFormatPr baseColWidth="10" defaultRowHeight="12.75" x14ac:dyDescent="0.2"/>
  <cols>
    <col min="1" max="1" width="4.140625" customWidth="1"/>
    <col min="5" max="5" width="8.28515625" customWidth="1"/>
    <col min="6" max="6" width="10" style="8" customWidth="1"/>
    <col min="7" max="8" width="11.42578125" style="9"/>
    <col min="9" max="9" width="11.42578125" style="49"/>
    <col min="10" max="10" width="11.42578125" style="50"/>
    <col min="11" max="11" width="11.42578125" style="9"/>
    <col min="12" max="12" width="4.5703125" customWidth="1"/>
  </cols>
  <sheetData>
    <row r="1" spans="1:14" ht="18" customHeight="1" x14ac:dyDescent="0.2">
      <c r="A1" s="103" t="s">
        <v>35</v>
      </c>
      <c r="B1" s="103"/>
      <c r="C1" s="10"/>
      <c r="D1" s="10"/>
      <c r="E1" s="10"/>
      <c r="F1" s="11"/>
      <c r="G1" s="12"/>
      <c r="H1" s="12"/>
      <c r="I1" s="35"/>
      <c r="J1" s="51"/>
      <c r="K1" s="12"/>
    </row>
    <row r="3" spans="1:14" x14ac:dyDescent="0.2">
      <c r="B3" s="10"/>
      <c r="C3" s="10"/>
      <c r="D3" s="10"/>
      <c r="E3" s="10"/>
      <c r="F3" s="11"/>
      <c r="G3" s="12"/>
      <c r="H3" s="12"/>
      <c r="I3" s="35"/>
      <c r="J3" s="51"/>
      <c r="K3" s="12"/>
    </row>
    <row r="4" spans="1:14" ht="26.25" customHeight="1" x14ac:dyDescent="0.2">
      <c r="A4" s="13"/>
      <c r="B4" s="113"/>
      <c r="C4" s="114"/>
      <c r="D4" s="114"/>
      <c r="E4" s="114"/>
      <c r="F4" s="115"/>
      <c r="G4" s="116" t="s">
        <v>126</v>
      </c>
      <c r="H4" s="117" t="s">
        <v>38</v>
      </c>
      <c r="I4" s="118" t="s">
        <v>39</v>
      </c>
      <c r="J4" s="116" t="s">
        <v>127</v>
      </c>
      <c r="K4" s="119" t="s">
        <v>38</v>
      </c>
      <c r="M4" s="116" t="s">
        <v>128</v>
      </c>
      <c r="N4" s="119" t="s">
        <v>38</v>
      </c>
    </row>
    <row r="5" spans="1:14" ht="7.5" customHeight="1" x14ac:dyDescent="0.2">
      <c r="B5" s="120"/>
      <c r="C5" s="13"/>
      <c r="D5" s="13"/>
      <c r="E5" s="13"/>
      <c r="F5" s="121"/>
      <c r="G5" s="122"/>
      <c r="H5" s="123"/>
      <c r="I5" s="124"/>
      <c r="J5" s="125"/>
      <c r="K5" s="126"/>
      <c r="M5" s="122"/>
      <c r="N5" s="126"/>
    </row>
    <row r="6" spans="1:14" ht="9" customHeight="1" x14ac:dyDescent="0.2">
      <c r="B6" s="120"/>
      <c r="C6" s="13"/>
      <c r="D6" s="13"/>
      <c r="E6" s="13"/>
      <c r="F6" s="121"/>
      <c r="G6" s="122"/>
      <c r="H6" s="123"/>
      <c r="I6" s="124"/>
      <c r="J6" s="125"/>
      <c r="K6" s="126"/>
      <c r="M6" s="122"/>
      <c r="N6" s="126"/>
    </row>
    <row r="7" spans="1:14" ht="13.5" customHeight="1" x14ac:dyDescent="0.2">
      <c r="B7" s="120" t="s">
        <v>41</v>
      </c>
      <c r="C7" s="13"/>
      <c r="D7" s="13"/>
      <c r="E7" s="13"/>
      <c r="F7" s="121"/>
      <c r="G7" s="122">
        <v>26827651</v>
      </c>
      <c r="H7" s="127">
        <f>G7/$G$7</f>
        <v>1</v>
      </c>
      <c r="I7" s="124">
        <f t="shared" ref="I7:I13" si="0">G7/J7-1</f>
        <v>-6.8880098566439174E-2</v>
      </c>
      <c r="J7" s="122">
        <v>28812241</v>
      </c>
      <c r="K7" s="124">
        <f>J7/$G$7</f>
        <v>1.0739755411310516</v>
      </c>
      <c r="M7" s="122">
        <v>54127759</v>
      </c>
      <c r="N7" s="124">
        <f t="shared" ref="N7:N13" si="1">M7/$M$7</f>
        <v>1</v>
      </c>
    </row>
    <row r="8" spans="1:14" ht="13.5" customHeight="1" x14ac:dyDescent="0.2">
      <c r="B8" s="120" t="s">
        <v>42</v>
      </c>
      <c r="C8" s="13"/>
      <c r="D8" s="13"/>
      <c r="E8" s="13"/>
      <c r="F8" s="121"/>
      <c r="G8" s="122">
        <v>151211</v>
      </c>
      <c r="H8" s="127">
        <f t="shared" ref="H8:H13" si="2">G8/$G$7</f>
        <v>5.6363861301162747E-3</v>
      </c>
      <c r="I8" s="124">
        <f t="shared" si="0"/>
        <v>-0.48087763747845735</v>
      </c>
      <c r="J8" s="122">
        <v>291282</v>
      </c>
      <c r="K8" s="124">
        <f t="shared" ref="K8:K13" si="3">J8/$G$7</f>
        <v>1.085752904717599E-2</v>
      </c>
      <c r="M8" s="122">
        <v>563957</v>
      </c>
      <c r="N8" s="124">
        <f t="shared" si="1"/>
        <v>1.041899776416016E-2</v>
      </c>
    </row>
    <row r="9" spans="1:14" ht="13.5" customHeight="1" x14ac:dyDescent="0.2">
      <c r="B9" s="120" t="s">
        <v>43</v>
      </c>
      <c r="C9" s="13"/>
      <c r="D9" s="13"/>
      <c r="E9" s="13"/>
      <c r="F9" s="121"/>
      <c r="G9" s="122">
        <v>14740826</v>
      </c>
      <c r="H9" s="127">
        <f t="shared" si="2"/>
        <v>0.54946390945670198</v>
      </c>
      <c r="I9" s="124">
        <f t="shared" si="0"/>
        <v>-7.4869665289153287E-2</v>
      </c>
      <c r="J9" s="122">
        <v>15933783</v>
      </c>
      <c r="K9" s="124">
        <f t="shared" si="3"/>
        <v>0.59393135090358828</v>
      </c>
      <c r="M9" s="122">
        <v>29453239</v>
      </c>
      <c r="N9" s="124">
        <f t="shared" si="1"/>
        <v>0.54414295999211792</v>
      </c>
    </row>
    <row r="10" spans="1:14" ht="13.5" customHeight="1" x14ac:dyDescent="0.2">
      <c r="B10" s="120" t="s">
        <v>44</v>
      </c>
      <c r="C10" s="13"/>
      <c r="D10" s="13"/>
      <c r="E10" s="13"/>
      <c r="F10" s="121"/>
      <c r="G10" s="122">
        <v>5120959</v>
      </c>
      <c r="H10" s="127">
        <f t="shared" si="2"/>
        <v>0.19088361481965008</v>
      </c>
      <c r="I10" s="124">
        <f t="shared" si="0"/>
        <v>-2.2842876417924374E-2</v>
      </c>
      <c r="J10" s="122">
        <v>5240671</v>
      </c>
      <c r="K10" s="124">
        <f t="shared" si="3"/>
        <v>0.19534587653611565</v>
      </c>
      <c r="M10" s="122">
        <v>10103557</v>
      </c>
      <c r="N10" s="124">
        <f t="shared" si="1"/>
        <v>0.18666128409269631</v>
      </c>
    </row>
    <row r="11" spans="1:14" ht="13.5" customHeight="1" x14ac:dyDescent="0.2">
      <c r="B11" s="120" t="s">
        <v>48</v>
      </c>
      <c r="C11" s="13"/>
      <c r="D11" s="13"/>
      <c r="E11" s="13"/>
      <c r="F11" s="121"/>
      <c r="G11" s="122">
        <v>5233666</v>
      </c>
      <c r="H11" s="127">
        <f t="shared" si="2"/>
        <v>0.19508476534155003</v>
      </c>
      <c r="I11" s="124">
        <f t="shared" si="0"/>
        <v>-7.1182915347845044E-2</v>
      </c>
      <c r="J11" s="122">
        <v>5634765</v>
      </c>
      <c r="K11" s="124">
        <f t="shared" si="3"/>
        <v>0.21003572023506642</v>
      </c>
      <c r="M11" s="122">
        <v>10470843</v>
      </c>
      <c r="N11" s="124">
        <f t="shared" si="1"/>
        <v>0.19344682272916564</v>
      </c>
    </row>
    <row r="12" spans="1:14" ht="13.5" customHeight="1" x14ac:dyDescent="0.2">
      <c r="B12" s="120" t="s">
        <v>46</v>
      </c>
      <c r="C12" s="13"/>
      <c r="D12" s="13"/>
      <c r="E12" s="13"/>
      <c r="F12" s="121"/>
      <c r="G12" s="122">
        <v>529009</v>
      </c>
      <c r="H12" s="127">
        <f t="shared" si="2"/>
        <v>1.9718796848818408E-2</v>
      </c>
      <c r="I12" s="124">
        <f t="shared" si="0"/>
        <v>0.25009216023593028</v>
      </c>
      <c r="J12" s="122">
        <v>423176</v>
      </c>
      <c r="K12" s="124">
        <f t="shared" si="3"/>
        <v>1.5773874499858374E-2</v>
      </c>
      <c r="M12" s="122">
        <v>849570</v>
      </c>
      <c r="N12" s="124">
        <f t="shared" si="1"/>
        <v>1.5695643338938161E-2</v>
      </c>
    </row>
    <row r="13" spans="1:14" ht="13.5" customHeight="1" x14ac:dyDescent="0.2">
      <c r="B13" s="120" t="s">
        <v>47</v>
      </c>
      <c r="C13" s="13"/>
      <c r="D13" s="13"/>
      <c r="E13" s="13"/>
      <c r="F13" s="121"/>
      <c r="G13" s="122">
        <v>353226</v>
      </c>
      <c r="H13" s="127">
        <f t="shared" si="2"/>
        <v>1.3166490051626211E-2</v>
      </c>
      <c r="I13" s="124">
        <f t="shared" si="0"/>
        <v>0.1947720730746203</v>
      </c>
      <c r="J13" s="122">
        <v>295643</v>
      </c>
      <c r="K13" s="124">
        <f t="shared" si="3"/>
        <v>1.1020085209845617E-2</v>
      </c>
      <c r="M13" s="122">
        <v>517587</v>
      </c>
      <c r="N13" s="124">
        <f t="shared" si="1"/>
        <v>9.5623208786456502E-3</v>
      </c>
    </row>
    <row r="14" spans="1:14" x14ac:dyDescent="0.2">
      <c r="B14" s="120"/>
      <c r="C14" s="13"/>
      <c r="D14" s="13"/>
      <c r="E14" s="13"/>
      <c r="F14" s="121"/>
      <c r="G14" s="122"/>
      <c r="H14" s="123"/>
      <c r="I14" s="124"/>
      <c r="J14" s="122"/>
      <c r="K14" s="126"/>
      <c r="M14" s="122"/>
      <c r="N14" s="126"/>
    </row>
    <row r="15" spans="1:14" x14ac:dyDescent="0.2">
      <c r="B15" s="128" t="s">
        <v>49</v>
      </c>
      <c r="C15" s="10"/>
      <c r="D15" s="10"/>
      <c r="E15" s="10"/>
      <c r="F15" s="129"/>
      <c r="G15" s="130">
        <f>G7+G8-G9-G10-G11-G12-G13</f>
        <v>1001176</v>
      </c>
      <c r="H15" s="131">
        <f>G15/$G$7</f>
        <v>3.7318809611769588E-2</v>
      </c>
      <c r="I15" s="132">
        <f>G15/J15-1</f>
        <v>-0.36452838332323068</v>
      </c>
      <c r="J15" s="130">
        <f>J7+J8-J9-J10-J11-J12-J13</f>
        <v>1575485</v>
      </c>
      <c r="K15" s="132">
        <f>J15/$G$7</f>
        <v>5.8726162793753353E-2</v>
      </c>
      <c r="L15" s="50"/>
      <c r="M15" s="130">
        <v>3296920</v>
      </c>
      <c r="N15" s="132">
        <f>M15/$M$7</f>
        <v>6.0909966732596486E-2</v>
      </c>
    </row>
    <row r="16" spans="1:14" ht="7.5" customHeight="1" x14ac:dyDescent="0.2">
      <c r="B16" s="133"/>
      <c r="C16" s="13"/>
      <c r="D16" s="13"/>
      <c r="E16" s="13"/>
      <c r="F16" s="121"/>
      <c r="G16" s="122"/>
      <c r="H16" s="123"/>
      <c r="I16" s="124"/>
      <c r="J16" s="122"/>
      <c r="K16" s="126"/>
      <c r="M16" s="122"/>
      <c r="N16" s="126"/>
    </row>
    <row r="17" spans="2:14" x14ac:dyDescent="0.2">
      <c r="B17" s="120"/>
      <c r="C17" s="13"/>
      <c r="D17" s="13"/>
      <c r="E17" s="13"/>
      <c r="F17" s="121"/>
      <c r="G17" s="122"/>
      <c r="H17" s="123"/>
      <c r="I17" s="124"/>
      <c r="J17" s="122"/>
      <c r="K17" s="126"/>
      <c r="M17" s="122"/>
      <c r="N17" s="126"/>
    </row>
    <row r="18" spans="2:14" x14ac:dyDescent="0.2">
      <c r="B18" s="134" t="s">
        <v>50</v>
      </c>
      <c r="C18" s="10"/>
      <c r="D18" s="10"/>
      <c r="E18" s="10"/>
      <c r="F18" s="129"/>
      <c r="G18" s="135">
        <v>-208906</v>
      </c>
      <c r="H18" s="35">
        <f>G18/$G$7</f>
        <v>-7.7869657690119798E-3</v>
      </c>
      <c r="I18" s="136">
        <f>G18/J18-1</f>
        <v>5.3079118203298581E-3</v>
      </c>
      <c r="J18" s="135">
        <v>-207803</v>
      </c>
      <c r="K18" s="136">
        <f>J18/$G$7</f>
        <v>-7.7458514724229859E-3</v>
      </c>
      <c r="M18" s="135">
        <v>-507686</v>
      </c>
      <c r="N18" s="136">
        <f>M18/$M$7</f>
        <v>-9.3794017964054267E-3</v>
      </c>
    </row>
    <row r="19" spans="2:14" ht="7.5" customHeight="1" x14ac:dyDescent="0.2">
      <c r="B19" s="120"/>
      <c r="C19" s="13"/>
      <c r="D19" s="13"/>
      <c r="E19" s="13"/>
      <c r="F19" s="121"/>
      <c r="G19" s="122"/>
      <c r="H19" s="123"/>
      <c r="I19" s="124"/>
      <c r="J19" s="122"/>
      <c r="K19" s="126"/>
      <c r="M19" s="122"/>
      <c r="N19" s="126"/>
    </row>
    <row r="20" spans="2:14" x14ac:dyDescent="0.2">
      <c r="B20" s="120"/>
      <c r="C20" s="13"/>
      <c r="D20" s="13"/>
      <c r="E20" s="13"/>
      <c r="F20" s="121"/>
      <c r="G20" s="122"/>
      <c r="H20" s="123"/>
      <c r="I20" s="124"/>
      <c r="J20" s="122"/>
      <c r="K20" s="126"/>
      <c r="M20" s="122"/>
      <c r="N20" s="126"/>
    </row>
    <row r="21" spans="2:14" x14ac:dyDescent="0.2">
      <c r="B21" s="128" t="s">
        <v>51</v>
      </c>
      <c r="C21" s="10"/>
      <c r="D21" s="10"/>
      <c r="E21" s="10"/>
      <c r="F21" s="129"/>
      <c r="G21" s="130">
        <f>G15+G18</f>
        <v>792270</v>
      </c>
      <c r="H21" s="131">
        <f>G21/$G$7</f>
        <v>2.9531843842757609E-2</v>
      </c>
      <c r="I21" s="132">
        <f>G21/J21-1</f>
        <v>-0.42072060610580531</v>
      </c>
      <c r="J21" s="130">
        <f>J15+J18</f>
        <v>1367682</v>
      </c>
      <c r="K21" s="132">
        <f>J21/$G$7</f>
        <v>5.0980311321330372E-2</v>
      </c>
      <c r="M21" s="130">
        <v>2789234</v>
      </c>
      <c r="N21" s="132">
        <f>M21/$M$7</f>
        <v>5.1530564936191056E-2</v>
      </c>
    </row>
    <row r="22" spans="2:14" ht="7.5" customHeight="1" x14ac:dyDescent="0.2">
      <c r="B22" s="120"/>
      <c r="C22" s="13"/>
      <c r="D22" s="13"/>
      <c r="E22" s="13"/>
      <c r="F22" s="121"/>
      <c r="G22" s="122"/>
      <c r="H22" s="123"/>
      <c r="I22" s="124"/>
      <c r="J22" s="122"/>
      <c r="K22" s="126"/>
      <c r="M22" s="122"/>
      <c r="N22" s="126"/>
    </row>
    <row r="23" spans="2:14" x14ac:dyDescent="0.2">
      <c r="B23" s="120"/>
      <c r="C23" s="13"/>
      <c r="D23" s="13"/>
      <c r="E23" s="13"/>
      <c r="F23" s="121"/>
      <c r="G23" s="122"/>
      <c r="H23" s="123"/>
      <c r="I23" s="124"/>
      <c r="J23" s="122"/>
      <c r="K23" s="126"/>
      <c r="M23" s="122"/>
      <c r="N23" s="126"/>
    </row>
    <row r="24" spans="2:14" x14ac:dyDescent="0.2">
      <c r="B24" s="134" t="s">
        <v>52</v>
      </c>
      <c r="C24" s="10"/>
      <c r="D24" s="10"/>
      <c r="E24" s="10"/>
      <c r="F24" s="129"/>
      <c r="G24" s="135">
        <v>-60641</v>
      </c>
      <c r="H24" s="35">
        <f>G24/$G$7</f>
        <v>-2.2603917130128164E-3</v>
      </c>
      <c r="I24" s="136">
        <f>G24/J24-1</f>
        <v>-0.49411450642774313</v>
      </c>
      <c r="J24" s="135">
        <v>-119871</v>
      </c>
      <c r="K24" s="136">
        <f>J24/$G$7</f>
        <v>-4.4681884373700851E-3</v>
      </c>
      <c r="M24" s="135">
        <v>-316742</v>
      </c>
      <c r="N24" s="136">
        <f>M24/$M$7</f>
        <v>-5.8517478988923226E-3</v>
      </c>
    </row>
    <row r="25" spans="2:14" ht="7.5" customHeight="1" x14ac:dyDescent="0.2">
      <c r="B25" s="120"/>
      <c r="C25" s="13"/>
      <c r="D25" s="13"/>
      <c r="E25" s="13"/>
      <c r="F25" s="121"/>
      <c r="G25" s="122"/>
      <c r="H25" s="123"/>
      <c r="I25" s="124"/>
      <c r="J25" s="122"/>
      <c r="K25" s="126"/>
      <c r="M25" s="122"/>
      <c r="N25" s="126"/>
    </row>
    <row r="26" spans="2:14" x14ac:dyDescent="0.2">
      <c r="B26" s="120"/>
      <c r="C26" s="13"/>
      <c r="D26" s="13"/>
      <c r="E26" s="13"/>
      <c r="F26" s="121"/>
      <c r="G26" s="122"/>
      <c r="H26" s="123"/>
      <c r="I26" s="124"/>
      <c r="J26" s="122"/>
      <c r="K26" s="126"/>
      <c r="M26" s="122"/>
      <c r="N26" s="126"/>
    </row>
    <row r="27" spans="2:14" x14ac:dyDescent="0.2">
      <c r="B27" s="134" t="s">
        <v>54</v>
      </c>
      <c r="C27" s="10"/>
      <c r="D27" s="10"/>
      <c r="E27" s="10"/>
      <c r="F27" s="129"/>
      <c r="G27" s="135"/>
      <c r="H27" s="12"/>
      <c r="I27" s="136"/>
      <c r="J27" s="135"/>
      <c r="K27" s="137"/>
      <c r="M27" s="135"/>
      <c r="N27" s="136">
        <f>M27/$M$7</f>
        <v>0</v>
      </c>
    </row>
    <row r="28" spans="2:14" ht="7.5" customHeight="1" x14ac:dyDescent="0.2">
      <c r="B28" s="120"/>
      <c r="C28" s="13"/>
      <c r="D28" s="13"/>
      <c r="E28" s="13"/>
      <c r="F28" s="121"/>
      <c r="G28" s="122"/>
      <c r="H28" s="123"/>
      <c r="I28" s="124"/>
      <c r="J28" s="122"/>
      <c r="K28" s="126"/>
      <c r="M28" s="122"/>
      <c r="N28" s="126"/>
    </row>
    <row r="29" spans="2:14" x14ac:dyDescent="0.2">
      <c r="B29" s="120"/>
      <c r="C29" s="13"/>
      <c r="D29" s="13"/>
      <c r="E29" s="13"/>
      <c r="F29" s="121"/>
      <c r="G29" s="122"/>
      <c r="H29" s="123"/>
      <c r="I29" s="124"/>
      <c r="J29" s="122"/>
      <c r="K29" s="126"/>
      <c r="M29" s="122"/>
      <c r="N29" s="126"/>
    </row>
    <row r="30" spans="2:14" x14ac:dyDescent="0.2">
      <c r="B30" s="134" t="s">
        <v>55</v>
      </c>
      <c r="C30" s="10"/>
      <c r="D30" s="10"/>
      <c r="E30" s="10"/>
      <c r="F30" s="129"/>
      <c r="G30" s="135">
        <v>575187</v>
      </c>
      <c r="H30" s="35">
        <f>G30/$G$7</f>
        <v>2.1440080609368296E-2</v>
      </c>
      <c r="I30" s="136">
        <f>G30/J30-1</f>
        <v>0.41032858554478602</v>
      </c>
      <c r="J30" s="135">
        <v>407839</v>
      </c>
      <c r="K30" s="136">
        <f>J30/$G$7</f>
        <v>1.5202188219907885E-2</v>
      </c>
      <c r="M30" s="135">
        <v>616676</v>
      </c>
      <c r="N30" s="136">
        <f>M30/$M$7</f>
        <v>1.139297121094557E-2</v>
      </c>
    </row>
    <row r="31" spans="2:14" ht="7.5" customHeight="1" x14ac:dyDescent="0.2">
      <c r="B31" s="120"/>
      <c r="C31" s="13"/>
      <c r="D31" s="13"/>
      <c r="E31" s="13"/>
      <c r="F31" s="121"/>
      <c r="G31" s="122"/>
      <c r="H31" s="123"/>
      <c r="I31" s="124"/>
      <c r="J31" s="122"/>
      <c r="K31" s="126"/>
      <c r="M31" s="122"/>
      <c r="N31" s="126"/>
    </row>
    <row r="32" spans="2:14" x14ac:dyDescent="0.2">
      <c r="B32" s="120"/>
      <c r="C32" s="13"/>
      <c r="D32" s="13"/>
      <c r="E32" s="13"/>
      <c r="F32" s="121"/>
      <c r="G32" s="122"/>
      <c r="H32" s="123"/>
      <c r="I32" s="124"/>
      <c r="J32" s="122"/>
      <c r="K32" s="126"/>
      <c r="M32" s="122"/>
      <c r="N32" s="126"/>
    </row>
    <row r="33" spans="2:14" x14ac:dyDescent="0.2">
      <c r="B33" s="134" t="s">
        <v>56</v>
      </c>
      <c r="C33" s="10"/>
      <c r="D33" s="10"/>
      <c r="E33" s="10"/>
      <c r="F33" s="129"/>
      <c r="G33" s="135">
        <v>-147221</v>
      </c>
      <c r="H33" s="35">
        <f>G33/$G$7</f>
        <v>-5.4876589828904516E-3</v>
      </c>
      <c r="I33" s="136">
        <f>G33/J33-1</f>
        <v>-14.833959781995866</v>
      </c>
      <c r="J33" s="135">
        <v>10642</v>
      </c>
      <c r="K33" s="136">
        <f>J33/$G$7</f>
        <v>3.9668027588401236E-4</v>
      </c>
      <c r="M33" s="135">
        <v>32415</v>
      </c>
      <c r="N33" s="136">
        <f>M33/$M$7</f>
        <v>5.9886092827157321E-4</v>
      </c>
    </row>
    <row r="34" spans="2:14" ht="7.5" customHeight="1" x14ac:dyDescent="0.2">
      <c r="B34" s="120"/>
      <c r="C34" s="13"/>
      <c r="D34" s="13"/>
      <c r="E34" s="13"/>
      <c r="F34" s="121"/>
      <c r="G34" s="122"/>
      <c r="H34" s="123"/>
      <c r="I34" s="124"/>
      <c r="J34" s="122"/>
      <c r="K34" s="126"/>
      <c r="M34" s="122"/>
      <c r="N34" s="126"/>
    </row>
    <row r="35" spans="2:14" x14ac:dyDescent="0.2">
      <c r="B35" s="120"/>
      <c r="C35" s="13"/>
      <c r="D35" s="13"/>
      <c r="E35" s="13"/>
      <c r="F35" s="121"/>
      <c r="G35" s="122"/>
      <c r="H35" s="123"/>
      <c r="I35" s="124"/>
      <c r="J35" s="122"/>
      <c r="K35" s="126"/>
      <c r="M35" s="122"/>
      <c r="N35" s="126"/>
    </row>
    <row r="36" spans="2:14" x14ac:dyDescent="0.2">
      <c r="B36" s="128" t="s">
        <v>57</v>
      </c>
      <c r="C36" s="10"/>
      <c r="D36" s="10"/>
      <c r="E36" s="10"/>
      <c r="F36" s="129"/>
      <c r="G36" s="130">
        <f>G21+G24-G27-G30-G33</f>
        <v>303663</v>
      </c>
      <c r="H36" s="131">
        <f>G36/$G$7</f>
        <v>1.1319030503266946E-2</v>
      </c>
      <c r="I36" s="132">
        <f>G36/J36-1</f>
        <v>-0.63384539326926559</v>
      </c>
      <c r="J36" s="130">
        <f>J21+J24-J27-J30-J33</f>
        <v>829330</v>
      </c>
      <c r="K36" s="132">
        <f>J36/$G$7</f>
        <v>3.0913254388168387E-2</v>
      </c>
      <c r="M36" s="130">
        <v>1823401</v>
      </c>
      <c r="N36" s="132">
        <f>M36/$M$7</f>
        <v>3.3686984898081591E-2</v>
      </c>
    </row>
    <row r="37" spans="2:14" ht="7.5" customHeight="1" x14ac:dyDescent="0.2">
      <c r="B37" s="120"/>
      <c r="C37" s="13"/>
      <c r="D37" s="13"/>
      <c r="E37" s="13"/>
      <c r="F37" s="121"/>
      <c r="G37" s="122"/>
      <c r="H37" s="123"/>
      <c r="I37" s="124"/>
      <c r="J37" s="122"/>
      <c r="K37" s="126"/>
      <c r="M37" s="122"/>
      <c r="N37" s="126"/>
    </row>
    <row r="38" spans="2:14" x14ac:dyDescent="0.2">
      <c r="B38" s="120"/>
      <c r="C38" s="13"/>
      <c r="D38" s="13"/>
      <c r="E38" s="13"/>
      <c r="F38" s="121"/>
      <c r="G38" s="122"/>
      <c r="H38" s="123"/>
      <c r="I38" s="124"/>
      <c r="J38" s="122"/>
      <c r="K38" s="126"/>
      <c r="M38" s="122"/>
      <c r="N38" s="126"/>
    </row>
    <row r="39" spans="2:14" x14ac:dyDescent="0.2">
      <c r="B39" s="134" t="s">
        <v>59</v>
      </c>
      <c r="C39" s="10"/>
      <c r="D39" s="10"/>
      <c r="E39" s="10"/>
      <c r="F39" s="129"/>
      <c r="G39" s="135">
        <v>74000</v>
      </c>
      <c r="H39" s="35">
        <f>G39/$G$7</f>
        <v>2.7583480939125083E-3</v>
      </c>
      <c r="I39" s="136"/>
      <c r="J39" s="135">
        <v>-147635</v>
      </c>
      <c r="K39" s="136">
        <f>J39/$G$7</f>
        <v>-5.5030908222266648E-3</v>
      </c>
      <c r="M39" s="135">
        <v>-325504</v>
      </c>
      <c r="N39" s="136">
        <f>M39/$M$7</f>
        <v>-6.0136241738735201E-3</v>
      </c>
    </row>
    <row r="40" spans="2:14" ht="7.5" customHeight="1" x14ac:dyDescent="0.2">
      <c r="B40" s="120"/>
      <c r="C40" s="13"/>
      <c r="D40" s="13"/>
      <c r="E40" s="13"/>
      <c r="F40" s="121"/>
      <c r="G40" s="122"/>
      <c r="H40" s="123"/>
      <c r="I40" s="124"/>
      <c r="J40" s="122"/>
      <c r="K40" s="126"/>
      <c r="M40" s="122"/>
      <c r="N40" s="126"/>
    </row>
    <row r="41" spans="2:14" x14ac:dyDescent="0.2">
      <c r="B41" s="120"/>
      <c r="C41" s="13"/>
      <c r="D41" s="13"/>
      <c r="E41" s="13"/>
      <c r="F41" s="121"/>
      <c r="G41" s="122"/>
      <c r="H41" s="123"/>
      <c r="I41" s="124"/>
      <c r="J41" s="122"/>
      <c r="K41" s="126"/>
      <c r="M41" s="122"/>
      <c r="N41" s="126"/>
    </row>
    <row r="42" spans="2:14" x14ac:dyDescent="0.2">
      <c r="B42" s="128" t="s">
        <v>60</v>
      </c>
      <c r="C42" s="10"/>
      <c r="D42" s="10"/>
      <c r="E42" s="10"/>
      <c r="F42" s="129"/>
      <c r="G42" s="130">
        <f>G36+G39</f>
        <v>377663</v>
      </c>
      <c r="H42" s="131">
        <f>G42/$G$7</f>
        <v>1.4077378597179455E-2</v>
      </c>
      <c r="I42" s="132">
        <f>G42/J42-1</f>
        <v>-0.44599417628118143</v>
      </c>
      <c r="J42" s="130">
        <f>J36+J39</f>
        <v>681695</v>
      </c>
      <c r="K42" s="132">
        <f>J42/$G$7</f>
        <v>2.5410163565941724E-2</v>
      </c>
      <c r="M42" s="130">
        <v>1497897</v>
      </c>
      <c r="N42" s="132">
        <f>M42/$M$7</f>
        <v>2.7673360724208073E-2</v>
      </c>
    </row>
    <row r="43" spans="2:14" ht="7.5" customHeight="1" x14ac:dyDescent="0.2">
      <c r="B43" s="120"/>
      <c r="C43" s="13"/>
      <c r="D43" s="13"/>
      <c r="E43" s="13"/>
      <c r="F43" s="121"/>
      <c r="G43" s="122"/>
      <c r="H43" s="123"/>
      <c r="I43" s="124"/>
      <c r="J43" s="122"/>
      <c r="K43" s="126"/>
      <c r="M43" s="138"/>
      <c r="N43" s="139"/>
    </row>
    <row r="44" spans="2:14" x14ac:dyDescent="0.2">
      <c r="B44" s="120"/>
      <c r="C44" s="13"/>
      <c r="D44" s="13"/>
      <c r="E44" s="13"/>
      <c r="F44" s="121"/>
      <c r="G44" s="122"/>
      <c r="H44" s="123"/>
      <c r="I44" s="124"/>
      <c r="J44" s="122"/>
      <c r="K44" s="126"/>
      <c r="M44" s="120"/>
      <c r="N44" s="139"/>
    </row>
    <row r="45" spans="2:14" x14ac:dyDescent="0.2">
      <c r="B45" s="128" t="s">
        <v>61</v>
      </c>
      <c r="C45" s="10"/>
      <c r="D45" s="10"/>
      <c r="E45" s="10"/>
      <c r="F45" s="129"/>
      <c r="G45" s="140">
        <f>G42/4875000</f>
        <v>7.7469333333333334E-2</v>
      </c>
      <c r="H45" s="131"/>
      <c r="I45" s="132"/>
      <c r="J45" s="140">
        <f>J42/4875000</f>
        <v>0.13983487179487181</v>
      </c>
      <c r="K45" s="132"/>
      <c r="M45" s="140">
        <v>0.3072609230769231</v>
      </c>
      <c r="N45" s="141"/>
    </row>
    <row r="46" spans="2:14" ht="7.5" customHeight="1" x14ac:dyDescent="0.2"/>
  </sheetData>
  <pageMargins left="0.35" right="0.36" top="0.984251969" bottom="0.984251969" header="0.4921259845" footer="0.4921259845"/>
  <pageSetup paperSize="9" scale="70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zoomScale="90" workbookViewId="0">
      <selection activeCell="G1" sqref="G1:H65536"/>
    </sheetView>
  </sheetViews>
  <sheetFormatPr baseColWidth="10" defaultRowHeight="12.75" x14ac:dyDescent="0.2"/>
  <cols>
    <col min="1" max="1" width="4.140625" customWidth="1"/>
    <col min="5" max="5" width="8.28515625" customWidth="1"/>
    <col min="6" max="6" width="10" style="8" customWidth="1"/>
    <col min="7" max="8" width="11.42578125" style="9"/>
    <col min="9" max="9" width="11.42578125" style="49"/>
    <col min="10" max="10" width="11.42578125" style="50"/>
    <col min="11" max="11" width="11.42578125" style="9"/>
    <col min="12" max="12" width="4.5703125" customWidth="1"/>
  </cols>
  <sheetData>
    <row r="1" spans="1:12" ht="18" customHeight="1" x14ac:dyDescent="0.2">
      <c r="A1" s="103" t="s">
        <v>35</v>
      </c>
      <c r="B1" s="103"/>
      <c r="C1" s="10"/>
      <c r="D1" s="10"/>
      <c r="E1" s="10"/>
      <c r="F1" s="11"/>
      <c r="G1" s="12"/>
      <c r="H1" s="12"/>
      <c r="I1" s="35"/>
      <c r="J1" s="51"/>
      <c r="K1" s="12"/>
    </row>
    <row r="3" spans="1:12" x14ac:dyDescent="0.2">
      <c r="B3" s="10"/>
      <c r="C3" s="10"/>
      <c r="D3" s="10"/>
      <c r="E3" s="10"/>
      <c r="F3" s="11"/>
      <c r="G3" s="12"/>
      <c r="H3" s="12"/>
      <c r="I3" s="35"/>
      <c r="J3" s="51"/>
      <c r="K3" s="12"/>
    </row>
    <row r="4" spans="1:12" ht="26.25" customHeight="1" x14ac:dyDescent="0.2">
      <c r="A4" s="13"/>
      <c r="B4" s="113"/>
      <c r="C4" s="114"/>
      <c r="D4" s="114"/>
      <c r="E4" s="114"/>
      <c r="F4" s="115"/>
      <c r="G4" s="116" t="s">
        <v>150</v>
      </c>
      <c r="H4" s="117" t="s">
        <v>38</v>
      </c>
      <c r="I4" s="118" t="s">
        <v>39</v>
      </c>
      <c r="J4" s="116" t="s">
        <v>151</v>
      </c>
      <c r="K4" s="119" t="s">
        <v>38</v>
      </c>
    </row>
    <row r="5" spans="1:12" ht="7.5" customHeight="1" x14ac:dyDescent="0.2">
      <c r="B5" s="120"/>
      <c r="C5" s="13"/>
      <c r="D5" s="13"/>
      <c r="E5" s="13"/>
      <c r="F5" s="121"/>
      <c r="G5" s="122"/>
      <c r="H5" s="123"/>
      <c r="I5" s="124"/>
      <c r="J5" s="125"/>
      <c r="K5" s="126"/>
    </row>
    <row r="6" spans="1:12" ht="9" customHeight="1" x14ac:dyDescent="0.2">
      <c r="B6" s="120"/>
      <c r="C6" s="13"/>
      <c r="D6" s="13"/>
      <c r="E6" s="13"/>
      <c r="F6" s="121"/>
      <c r="G6" s="122"/>
      <c r="H6" s="123"/>
      <c r="I6" s="124"/>
      <c r="J6" s="125"/>
      <c r="K6" s="126"/>
    </row>
    <row r="7" spans="1:12" ht="13.5" customHeight="1" x14ac:dyDescent="0.2">
      <c r="B7" s="120" t="s">
        <v>41</v>
      </c>
      <c r="C7" s="13"/>
      <c r="D7" s="13"/>
      <c r="E7" s="13"/>
      <c r="F7" s="121"/>
      <c r="G7" s="122">
        <v>28221077</v>
      </c>
      <c r="H7" s="127">
        <f>G7/$G$7</f>
        <v>1</v>
      </c>
      <c r="I7" s="124">
        <f t="shared" ref="I7:I13" si="0">G7/J7-1</f>
        <v>7.7966386684941824E-2</v>
      </c>
      <c r="J7" s="122">
        <v>26179923</v>
      </c>
      <c r="K7" s="124">
        <f t="shared" ref="K7:K13" si="1">J7/$J$7</f>
        <v>1</v>
      </c>
    </row>
    <row r="8" spans="1:12" ht="13.5" customHeight="1" x14ac:dyDescent="0.2">
      <c r="B8" s="120" t="s">
        <v>42</v>
      </c>
      <c r="C8" s="13"/>
      <c r="D8" s="13"/>
      <c r="E8" s="13"/>
      <c r="F8" s="121"/>
      <c r="G8" s="122">
        <v>516798</v>
      </c>
      <c r="H8" s="127">
        <f t="shared" ref="H8:H13" si="2">G8/$G$7</f>
        <v>1.8312483254979958E-2</v>
      </c>
      <c r="I8" s="124">
        <f t="shared" si="0"/>
        <v>0.36787803393239993</v>
      </c>
      <c r="J8" s="122">
        <v>377810</v>
      </c>
      <c r="K8" s="124">
        <f t="shared" si="1"/>
        <v>1.4431287670326609E-2</v>
      </c>
    </row>
    <row r="9" spans="1:12" ht="13.5" customHeight="1" x14ac:dyDescent="0.2">
      <c r="B9" s="120" t="s">
        <v>43</v>
      </c>
      <c r="C9" s="13"/>
      <c r="D9" s="13"/>
      <c r="E9" s="13"/>
      <c r="F9" s="121"/>
      <c r="G9" s="122">
        <v>14339710</v>
      </c>
      <c r="H9" s="127">
        <f t="shared" si="2"/>
        <v>0.50812057952288636</v>
      </c>
      <c r="I9" s="124">
        <f t="shared" si="0"/>
        <v>6.0660896820978305E-2</v>
      </c>
      <c r="J9" s="122">
        <v>13519599</v>
      </c>
      <c r="K9" s="124">
        <f t="shared" si="1"/>
        <v>0.5164109535387098</v>
      </c>
    </row>
    <row r="10" spans="1:12" ht="13.5" customHeight="1" x14ac:dyDescent="0.2">
      <c r="B10" s="120" t="s">
        <v>44</v>
      </c>
      <c r="C10" s="13"/>
      <c r="D10" s="13"/>
      <c r="E10" s="13"/>
      <c r="F10" s="121"/>
      <c r="G10" s="122">
        <v>5962671</v>
      </c>
      <c r="H10" s="127">
        <f t="shared" si="2"/>
        <v>0.21128431774591735</v>
      </c>
      <c r="I10" s="124">
        <f t="shared" si="0"/>
        <v>-4.3928329310865655E-2</v>
      </c>
      <c r="J10" s="122">
        <v>6236636</v>
      </c>
      <c r="K10" s="124">
        <f t="shared" si="1"/>
        <v>0.23822209102754047</v>
      </c>
    </row>
    <row r="11" spans="1:12" ht="13.5" customHeight="1" x14ac:dyDescent="0.2">
      <c r="B11" s="120" t="s">
        <v>48</v>
      </c>
      <c r="C11" s="13"/>
      <c r="D11" s="13"/>
      <c r="E11" s="13"/>
      <c r="F11" s="121"/>
      <c r="G11" s="122">
        <f>5566414-27614*2</f>
        <v>5511186</v>
      </c>
      <c r="H11" s="127">
        <f t="shared" si="2"/>
        <v>0.19528616856117859</v>
      </c>
      <c r="I11" s="124">
        <f t="shared" si="0"/>
        <v>0.17139171560053645</v>
      </c>
      <c r="J11" s="122">
        <v>4704819</v>
      </c>
      <c r="K11" s="124">
        <f t="shared" si="1"/>
        <v>0.17971095636912301</v>
      </c>
    </row>
    <row r="12" spans="1:12" ht="13.5" customHeight="1" x14ac:dyDescent="0.2">
      <c r="B12" s="120" t="s">
        <v>46</v>
      </c>
      <c r="C12" s="13"/>
      <c r="D12" s="13"/>
      <c r="E12" s="13"/>
      <c r="F12" s="121"/>
      <c r="G12" s="122">
        <v>581766</v>
      </c>
      <c r="H12" s="127">
        <f t="shared" si="2"/>
        <v>2.0614592419701063E-2</v>
      </c>
      <c r="I12" s="124">
        <f t="shared" si="0"/>
        <v>0.11836353360477059</v>
      </c>
      <c r="J12" s="122">
        <v>520194</v>
      </c>
      <c r="K12" s="124">
        <f t="shared" si="1"/>
        <v>1.9869959128604005E-2</v>
      </c>
    </row>
    <row r="13" spans="1:12" ht="13.5" customHeight="1" x14ac:dyDescent="0.2">
      <c r="B13" s="120" t="s">
        <v>47</v>
      </c>
      <c r="C13" s="13"/>
      <c r="D13" s="13"/>
      <c r="E13" s="13"/>
      <c r="F13" s="121"/>
      <c r="G13" s="122">
        <v>451671</v>
      </c>
      <c r="H13" s="127">
        <f t="shared" si="2"/>
        <v>1.6004740003366987E-2</v>
      </c>
      <c r="I13" s="124">
        <f t="shared" si="0"/>
        <v>0.38910297613738765</v>
      </c>
      <c r="J13" s="122">
        <v>325153</v>
      </c>
      <c r="K13" s="124">
        <f t="shared" si="1"/>
        <v>1.2419937216774854E-2</v>
      </c>
    </row>
    <row r="14" spans="1:12" x14ac:dyDescent="0.2">
      <c r="B14" s="120"/>
      <c r="C14" s="13"/>
      <c r="D14" s="13"/>
      <c r="E14" s="13"/>
      <c r="F14" s="121"/>
      <c r="G14" s="122"/>
      <c r="H14" s="123"/>
      <c r="I14" s="124"/>
      <c r="J14" s="125"/>
      <c r="K14" s="126"/>
    </row>
    <row r="15" spans="1:12" x14ac:dyDescent="0.2">
      <c r="B15" s="128" t="s">
        <v>49</v>
      </c>
      <c r="C15" s="10"/>
      <c r="D15" s="10"/>
      <c r="E15" s="10"/>
      <c r="F15" s="129"/>
      <c r="G15" s="130">
        <f>G7+G8-G9-G10-G11-G12-G13</f>
        <v>1890871</v>
      </c>
      <c r="H15" s="131">
        <f>G15/$G$7</f>
        <v>6.7002085001929584E-2</v>
      </c>
      <c r="I15" s="132">
        <f>G15/J15-1</f>
        <v>0.51108658613381586</v>
      </c>
      <c r="J15" s="201">
        <f>J7+J8-J9-J10-J11-J12-J13</f>
        <v>1251332</v>
      </c>
      <c r="K15" s="132">
        <f>J15/$J$7</f>
        <v>4.7797390389574486E-2</v>
      </c>
      <c r="L15" s="50"/>
    </row>
    <row r="16" spans="1:12" ht="7.5" customHeight="1" x14ac:dyDescent="0.2">
      <c r="B16" s="133"/>
      <c r="C16" s="13"/>
      <c r="D16" s="13"/>
      <c r="E16" s="13"/>
      <c r="F16" s="121"/>
      <c r="G16" s="122"/>
      <c r="H16" s="123"/>
      <c r="I16" s="124"/>
      <c r="J16" s="125"/>
      <c r="K16" s="126"/>
    </row>
    <row r="17" spans="2:11" x14ac:dyDescent="0.2">
      <c r="B17" s="120"/>
      <c r="C17" s="13"/>
      <c r="D17" s="13"/>
      <c r="E17" s="13"/>
      <c r="F17" s="121"/>
      <c r="G17" s="122"/>
      <c r="H17" s="123"/>
      <c r="I17" s="124"/>
      <c r="J17" s="125"/>
      <c r="K17" s="126"/>
    </row>
    <row r="18" spans="2:11" x14ac:dyDescent="0.2">
      <c r="B18" s="134" t="s">
        <v>50</v>
      </c>
      <c r="C18" s="10"/>
      <c r="D18" s="10"/>
      <c r="E18" s="10"/>
      <c r="F18" s="129"/>
      <c r="G18" s="135">
        <v>-81084</v>
      </c>
      <c r="H18" s="35">
        <f>G18/$G$7</f>
        <v>-2.8731717077983949E-3</v>
      </c>
      <c r="I18" s="136">
        <f>G18/J18-1</f>
        <v>-0.4042102942797311</v>
      </c>
      <c r="J18" s="135">
        <v>-136095</v>
      </c>
      <c r="K18" s="136">
        <f>J18/$J$7</f>
        <v>-5.19844920857865E-3</v>
      </c>
    </row>
    <row r="19" spans="2:11" ht="7.5" customHeight="1" x14ac:dyDescent="0.2">
      <c r="B19" s="120"/>
      <c r="C19" s="13"/>
      <c r="D19" s="13"/>
      <c r="E19" s="13"/>
      <c r="F19" s="121"/>
      <c r="G19" s="122"/>
      <c r="H19" s="123"/>
      <c r="I19" s="124"/>
      <c r="J19" s="125"/>
      <c r="K19" s="126"/>
    </row>
    <row r="20" spans="2:11" x14ac:dyDescent="0.2">
      <c r="B20" s="120"/>
      <c r="C20" s="13"/>
      <c r="D20" s="13"/>
      <c r="E20" s="13"/>
      <c r="F20" s="121"/>
      <c r="G20" s="122"/>
      <c r="H20" s="123"/>
      <c r="I20" s="124"/>
      <c r="J20" s="125"/>
      <c r="K20" s="126"/>
    </row>
    <row r="21" spans="2:11" x14ac:dyDescent="0.2">
      <c r="B21" s="128" t="s">
        <v>51</v>
      </c>
      <c r="C21" s="10"/>
      <c r="D21" s="10"/>
      <c r="E21" s="10"/>
      <c r="F21" s="129"/>
      <c r="G21" s="130">
        <f>G15+G18</f>
        <v>1809787</v>
      </c>
      <c r="H21" s="131">
        <f>G21/$G$7</f>
        <v>6.4128913294131187E-2</v>
      </c>
      <c r="I21" s="132">
        <f>G21/J21-1</f>
        <v>0.62278242203226752</v>
      </c>
      <c r="J21" s="201">
        <f>J15+J18</f>
        <v>1115237</v>
      </c>
      <c r="K21" s="132">
        <f>J21/$J$7</f>
        <v>4.2598941180995831E-2</v>
      </c>
    </row>
    <row r="22" spans="2:11" ht="7.5" customHeight="1" x14ac:dyDescent="0.2">
      <c r="B22" s="120"/>
      <c r="C22" s="13"/>
      <c r="D22" s="13"/>
      <c r="E22" s="13"/>
      <c r="F22" s="121"/>
      <c r="G22" s="122"/>
      <c r="H22" s="123"/>
      <c r="I22" s="124"/>
      <c r="J22" s="125"/>
      <c r="K22" s="126"/>
    </row>
    <row r="23" spans="2:11" x14ac:dyDescent="0.2">
      <c r="B23" s="120"/>
      <c r="C23" s="13"/>
      <c r="D23" s="13"/>
      <c r="E23" s="13"/>
      <c r="F23" s="121"/>
      <c r="G23" s="122"/>
      <c r="H23" s="123"/>
      <c r="I23" s="124"/>
      <c r="J23" s="125"/>
      <c r="K23" s="126"/>
    </row>
    <row r="24" spans="2:11" x14ac:dyDescent="0.2">
      <c r="B24" s="134" t="s">
        <v>52</v>
      </c>
      <c r="C24" s="10"/>
      <c r="D24" s="10"/>
      <c r="E24" s="10"/>
      <c r="F24" s="129"/>
      <c r="G24" s="135">
        <v>-5325</v>
      </c>
      <c r="H24" s="35">
        <f>G24/$G$7</f>
        <v>-1.8868875911433146E-4</v>
      </c>
      <c r="I24" s="136">
        <f>G24/J24-1</f>
        <v>-1.1256459262405323</v>
      </c>
      <c r="J24" s="135">
        <v>42381</v>
      </c>
      <c r="K24" s="136">
        <f>J24/$J$7</f>
        <v>1.6188359301133161E-3</v>
      </c>
    </row>
    <row r="25" spans="2:11" ht="7.5" customHeight="1" x14ac:dyDescent="0.2">
      <c r="B25" s="120"/>
      <c r="C25" s="13"/>
      <c r="D25" s="13"/>
      <c r="E25" s="13"/>
      <c r="F25" s="121"/>
      <c r="G25" s="122"/>
      <c r="H25" s="123"/>
      <c r="I25" s="124"/>
      <c r="J25" s="125"/>
      <c r="K25" s="126"/>
    </row>
    <row r="26" spans="2:11" x14ac:dyDescent="0.2">
      <c r="B26" s="120"/>
      <c r="C26" s="13"/>
      <c r="D26" s="13"/>
      <c r="E26" s="13"/>
      <c r="F26" s="121"/>
      <c r="G26" s="122"/>
      <c r="H26" s="123"/>
      <c r="I26" s="124"/>
      <c r="J26" s="125"/>
      <c r="K26" s="126"/>
    </row>
    <row r="27" spans="2:11" x14ac:dyDescent="0.2">
      <c r="B27" s="134" t="s">
        <v>54</v>
      </c>
      <c r="C27" s="10"/>
      <c r="D27" s="10"/>
      <c r="E27" s="10"/>
      <c r="F27" s="129"/>
      <c r="G27" s="135"/>
      <c r="H27" s="12"/>
      <c r="I27" s="136"/>
      <c r="J27" s="202"/>
      <c r="K27" s="137"/>
    </row>
    <row r="28" spans="2:11" ht="7.5" customHeight="1" x14ac:dyDescent="0.2">
      <c r="B28" s="120"/>
      <c r="C28" s="13"/>
      <c r="D28" s="13"/>
      <c r="E28" s="13"/>
      <c r="F28" s="121"/>
      <c r="G28" s="122"/>
      <c r="H28" s="123"/>
      <c r="I28" s="124"/>
      <c r="J28" s="125"/>
      <c r="K28" s="126"/>
    </row>
    <row r="29" spans="2:11" x14ac:dyDescent="0.2">
      <c r="B29" s="120"/>
      <c r="C29" s="13"/>
      <c r="D29" s="13"/>
      <c r="E29" s="13"/>
      <c r="F29" s="121"/>
      <c r="G29" s="122"/>
      <c r="H29" s="123"/>
      <c r="I29" s="124"/>
      <c r="J29" s="125"/>
      <c r="K29" s="126"/>
    </row>
    <row r="30" spans="2:11" x14ac:dyDescent="0.2">
      <c r="B30" s="134" t="s">
        <v>55</v>
      </c>
      <c r="C30" s="10"/>
      <c r="D30" s="10"/>
      <c r="E30" s="10"/>
      <c r="F30" s="129"/>
      <c r="G30" s="135">
        <v>473326</v>
      </c>
      <c r="H30" s="35">
        <f>G30/$G$7</f>
        <v>1.6772074290431933E-2</v>
      </c>
      <c r="I30" s="136">
        <f>G30/J30-1</f>
        <v>0.44506284594271972</v>
      </c>
      <c r="J30" s="135">
        <v>327547</v>
      </c>
      <c r="K30" s="136">
        <f>J30/$J$7</f>
        <v>1.2511381335995527E-2</v>
      </c>
    </row>
    <row r="31" spans="2:11" ht="7.5" customHeight="1" x14ac:dyDescent="0.2">
      <c r="B31" s="120"/>
      <c r="C31" s="13"/>
      <c r="D31" s="13"/>
      <c r="E31" s="13"/>
      <c r="F31" s="121"/>
      <c r="G31" s="122"/>
      <c r="H31" s="123"/>
      <c r="I31" s="124"/>
      <c r="J31" s="122"/>
      <c r="K31" s="126"/>
    </row>
    <row r="32" spans="2:11" x14ac:dyDescent="0.2">
      <c r="B32" s="120"/>
      <c r="C32" s="13"/>
      <c r="D32" s="13"/>
      <c r="E32" s="13"/>
      <c r="F32" s="121"/>
      <c r="G32" s="122"/>
      <c r="H32" s="123"/>
      <c r="I32" s="124"/>
      <c r="J32" s="122"/>
      <c r="K32" s="126"/>
    </row>
    <row r="33" spans="2:11" x14ac:dyDescent="0.2">
      <c r="B33" s="134" t="s">
        <v>56</v>
      </c>
      <c r="C33" s="10"/>
      <c r="D33" s="10"/>
      <c r="E33" s="10"/>
      <c r="F33" s="129"/>
      <c r="G33" s="135">
        <v>180183</v>
      </c>
      <c r="H33" s="35">
        <f>G33/$G$7</f>
        <v>6.3846960907976685E-3</v>
      </c>
      <c r="I33" s="136">
        <f>G33/J33-1</f>
        <v>1.5924119475138121</v>
      </c>
      <c r="J33" s="135">
        <v>69504</v>
      </c>
      <c r="K33" s="136">
        <f>J33/$J$7</f>
        <v>2.6548588397299717E-3</v>
      </c>
    </row>
    <row r="34" spans="2:11" ht="7.5" customHeight="1" x14ac:dyDescent="0.2">
      <c r="B34" s="120"/>
      <c r="C34" s="13"/>
      <c r="D34" s="13"/>
      <c r="E34" s="13"/>
      <c r="F34" s="121"/>
      <c r="G34" s="122"/>
      <c r="H34" s="123"/>
      <c r="I34" s="124"/>
      <c r="J34" s="125"/>
      <c r="K34" s="126"/>
    </row>
    <row r="35" spans="2:11" x14ac:dyDescent="0.2">
      <c r="B35" s="120"/>
      <c r="C35" s="13"/>
      <c r="D35" s="13"/>
      <c r="E35" s="13"/>
      <c r="F35" s="121"/>
      <c r="G35" s="122"/>
      <c r="H35" s="123"/>
      <c r="I35" s="124"/>
      <c r="J35" s="125"/>
      <c r="K35" s="126"/>
    </row>
    <row r="36" spans="2:11" x14ac:dyDescent="0.2">
      <c r="B36" s="128" t="s">
        <v>57</v>
      </c>
      <c r="C36" s="10"/>
      <c r="D36" s="10"/>
      <c r="E36" s="10"/>
      <c r="F36" s="129"/>
      <c r="G36" s="130">
        <f>G21+G24-G27-G30-G33</f>
        <v>1150953</v>
      </c>
      <c r="H36" s="131">
        <f>G36/$G$7</f>
        <v>4.0783454153787257E-2</v>
      </c>
      <c r="I36" s="132">
        <f>G36/J36-1</f>
        <v>0.51328285345012348</v>
      </c>
      <c r="J36" s="201">
        <f>J21+J24-J27-J30-J33</f>
        <v>760567</v>
      </c>
      <c r="K36" s="132">
        <f>J36/$J$7</f>
        <v>2.9051536935383652E-2</v>
      </c>
    </row>
    <row r="37" spans="2:11" ht="7.5" customHeight="1" x14ac:dyDescent="0.2">
      <c r="B37" s="120"/>
      <c r="C37" s="13"/>
      <c r="D37" s="13"/>
      <c r="E37" s="13"/>
      <c r="F37" s="121"/>
      <c r="G37" s="122"/>
      <c r="H37" s="123"/>
      <c r="I37" s="124"/>
      <c r="J37" s="125"/>
      <c r="K37" s="126"/>
    </row>
    <row r="38" spans="2:11" x14ac:dyDescent="0.2">
      <c r="B38" s="120"/>
      <c r="C38" s="13"/>
      <c r="D38" s="13"/>
      <c r="E38" s="13"/>
      <c r="F38" s="121"/>
      <c r="G38" s="122"/>
      <c r="H38" s="123"/>
      <c r="I38" s="124"/>
      <c r="J38" s="125"/>
      <c r="K38" s="126"/>
    </row>
    <row r="39" spans="2:11" x14ac:dyDescent="0.2">
      <c r="B39" s="134" t="s">
        <v>59</v>
      </c>
      <c r="C39" s="10"/>
      <c r="D39" s="10"/>
      <c r="E39" s="10"/>
      <c r="F39" s="129"/>
      <c r="G39" s="135">
        <v>-1339509</v>
      </c>
      <c r="H39" s="35">
        <f>G39/$G$7</f>
        <v>-4.7464843386381038E-2</v>
      </c>
      <c r="I39" s="136"/>
      <c r="J39" s="135">
        <v>-339510</v>
      </c>
      <c r="K39" s="136">
        <f>J39/$J$7</f>
        <v>-1.2968334551633326E-2</v>
      </c>
    </row>
    <row r="40" spans="2:11" ht="7.5" customHeight="1" x14ac:dyDescent="0.2">
      <c r="B40" s="120"/>
      <c r="C40" s="13"/>
      <c r="D40" s="13"/>
      <c r="E40" s="13"/>
      <c r="F40" s="121"/>
      <c r="G40" s="122"/>
      <c r="H40" s="123"/>
      <c r="I40" s="124"/>
      <c r="J40" s="125"/>
      <c r="K40" s="126"/>
    </row>
    <row r="41" spans="2:11" x14ac:dyDescent="0.2">
      <c r="B41" s="120"/>
      <c r="C41" s="13"/>
      <c r="D41" s="13"/>
      <c r="E41" s="13"/>
      <c r="F41" s="121"/>
      <c r="G41" s="122"/>
      <c r="H41" s="123"/>
      <c r="I41" s="124"/>
      <c r="J41" s="125"/>
      <c r="K41" s="126"/>
    </row>
    <row r="42" spans="2:11" x14ac:dyDescent="0.2">
      <c r="B42" s="128" t="s">
        <v>60</v>
      </c>
      <c r="C42" s="10"/>
      <c r="D42" s="10"/>
      <c r="E42" s="10"/>
      <c r="F42" s="129"/>
      <c r="G42" s="130">
        <f>G36+G39</f>
        <v>-188556</v>
      </c>
      <c r="H42" s="131">
        <f>G42/$G$7</f>
        <v>-6.6813892325937813E-3</v>
      </c>
      <c r="I42" s="132">
        <f>G42/J42-1</f>
        <v>-1.4478158539105157</v>
      </c>
      <c r="J42" s="201">
        <f>J36+J39</f>
        <v>421057</v>
      </c>
      <c r="K42" s="132">
        <f>J42/$J$7</f>
        <v>1.6083202383750328E-2</v>
      </c>
    </row>
    <row r="43" spans="2:11" ht="7.5" customHeight="1" x14ac:dyDescent="0.2">
      <c r="B43" s="120"/>
      <c r="C43" s="13"/>
      <c r="D43" s="13"/>
      <c r="E43" s="13"/>
      <c r="F43" s="121"/>
      <c r="G43" s="122"/>
      <c r="H43" s="123"/>
      <c r="I43" s="124"/>
      <c r="J43" s="125"/>
      <c r="K43" s="126"/>
    </row>
    <row r="44" spans="2:11" x14ac:dyDescent="0.2">
      <c r="B44" s="120"/>
      <c r="C44" s="13"/>
      <c r="D44" s="13"/>
      <c r="E44" s="13"/>
      <c r="F44" s="121"/>
      <c r="G44" s="122"/>
      <c r="H44" s="123"/>
      <c r="I44" s="124"/>
      <c r="J44" s="125"/>
      <c r="K44" s="126"/>
    </row>
    <row r="45" spans="2:11" x14ac:dyDescent="0.2">
      <c r="B45" s="128" t="s">
        <v>61</v>
      </c>
      <c r="C45" s="10"/>
      <c r="D45" s="10"/>
      <c r="E45" s="10"/>
      <c r="F45" s="129"/>
      <c r="G45" s="140">
        <f>G42/4875000</f>
        <v>-3.8678153846153848E-2</v>
      </c>
      <c r="H45" s="131"/>
      <c r="I45" s="132"/>
      <c r="J45" s="203">
        <f>J42/4875000</f>
        <v>8.6370666666666665E-2</v>
      </c>
      <c r="K45" s="132"/>
    </row>
    <row r="46" spans="2:11" ht="7.5" customHeight="1" x14ac:dyDescent="0.2"/>
  </sheetData>
  <pageMargins left="0.35" right="0.36" top="0.984251969" bottom="0.984251969" header="0.4921259845" footer="0.4921259845"/>
  <pageSetup paperSize="9" scale="85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opLeftCell="A7" zoomScale="90" workbookViewId="0">
      <selection activeCell="G1" sqref="G1:H65536"/>
    </sheetView>
  </sheetViews>
  <sheetFormatPr baseColWidth="10" defaultRowHeight="12.75" x14ac:dyDescent="0.2"/>
  <cols>
    <col min="1" max="1" width="4.140625" customWidth="1"/>
    <col min="5" max="5" width="8.28515625" customWidth="1"/>
    <col min="6" max="6" width="10" style="8" customWidth="1"/>
    <col min="7" max="8" width="11.42578125" style="9"/>
    <col min="9" max="9" width="11.42578125" style="49"/>
    <col min="10" max="10" width="11.42578125" style="50"/>
    <col min="11" max="11" width="11.42578125" style="9"/>
  </cols>
  <sheetData>
    <row r="1" spans="1:12" ht="18" customHeight="1" x14ac:dyDescent="0.2">
      <c r="A1" s="103" t="s">
        <v>35</v>
      </c>
      <c r="B1" s="103"/>
      <c r="C1" s="10"/>
      <c r="D1" s="10"/>
      <c r="E1" s="10"/>
      <c r="F1" s="11"/>
      <c r="G1" s="12"/>
      <c r="H1" s="12"/>
      <c r="I1" s="35"/>
      <c r="J1" s="51"/>
      <c r="K1" s="12"/>
    </row>
    <row r="3" spans="1:12" x14ac:dyDescent="0.2">
      <c r="B3" s="10"/>
      <c r="C3" s="10"/>
      <c r="D3" s="10"/>
      <c r="E3" s="10"/>
      <c r="F3" s="11"/>
      <c r="G3" s="12"/>
      <c r="H3" s="12"/>
      <c r="I3" s="35"/>
      <c r="J3" s="51"/>
      <c r="K3" s="12"/>
    </row>
    <row r="4" spans="1:12" ht="26.25" customHeight="1" x14ac:dyDescent="0.2">
      <c r="A4" s="13"/>
      <c r="B4" s="113"/>
      <c r="C4" s="114"/>
      <c r="D4" s="114"/>
      <c r="E4" s="114"/>
      <c r="F4" s="115"/>
      <c r="G4" s="116" t="s">
        <v>158</v>
      </c>
      <c r="H4" s="117" t="s">
        <v>38</v>
      </c>
      <c r="I4" s="118" t="s">
        <v>39</v>
      </c>
      <c r="J4" s="116" t="s">
        <v>157</v>
      </c>
      <c r="K4" s="119" t="s">
        <v>38</v>
      </c>
    </row>
    <row r="5" spans="1:12" ht="7.5" customHeight="1" x14ac:dyDescent="0.2">
      <c r="B5" s="120"/>
      <c r="C5" s="13"/>
      <c r="D5" s="13"/>
      <c r="E5" s="13"/>
      <c r="F5" s="121"/>
      <c r="G5" s="122"/>
      <c r="H5" s="123"/>
      <c r="I5" s="124"/>
      <c r="J5" s="125"/>
      <c r="K5" s="126"/>
    </row>
    <row r="6" spans="1:12" ht="9" customHeight="1" x14ac:dyDescent="0.2">
      <c r="B6" s="120"/>
      <c r="C6" s="13"/>
      <c r="D6" s="13"/>
      <c r="E6" s="13"/>
      <c r="F6" s="121"/>
      <c r="G6" s="122"/>
      <c r="H6" s="123"/>
      <c r="I6" s="124"/>
      <c r="J6" s="125"/>
      <c r="K6" s="126"/>
    </row>
    <row r="7" spans="1:12" ht="13.5" customHeight="1" x14ac:dyDescent="0.2">
      <c r="B7" s="120" t="s">
        <v>41</v>
      </c>
      <c r="C7" s="13"/>
      <c r="D7" s="13"/>
      <c r="E7" s="13"/>
      <c r="F7" s="121"/>
      <c r="G7" s="122">
        <v>27324632</v>
      </c>
      <c r="H7" s="127">
        <f>G7/$G$7</f>
        <v>1</v>
      </c>
      <c r="I7" s="124">
        <f>G7/J7-1</f>
        <v>8.0629748482559771E-2</v>
      </c>
      <c r="J7" s="122">
        <v>25285841</v>
      </c>
      <c r="K7" s="124">
        <f>J7/$J$7</f>
        <v>1</v>
      </c>
    </row>
    <row r="8" spans="1:12" ht="13.5" customHeight="1" x14ac:dyDescent="0.2">
      <c r="B8" s="120" t="s">
        <v>42</v>
      </c>
      <c r="C8" s="13"/>
      <c r="D8" s="13"/>
      <c r="E8" s="13"/>
      <c r="F8" s="121"/>
      <c r="G8" s="122">
        <v>222367</v>
      </c>
      <c r="H8" s="127">
        <f>G8/$G$7</f>
        <v>8.1379687016461932E-3</v>
      </c>
      <c r="I8" s="124">
        <f>G8/J8-1</f>
        <v>6.1002376158257876E-2</v>
      </c>
      <c r="J8" s="122">
        <v>209582</v>
      </c>
      <c r="K8" s="124">
        <f>J8/$J$7</f>
        <v>8.2885121361002002E-3</v>
      </c>
    </row>
    <row r="9" spans="1:12" ht="13.5" customHeight="1" x14ac:dyDescent="0.2">
      <c r="B9" s="120" t="s">
        <v>43</v>
      </c>
      <c r="C9" s="13"/>
      <c r="D9" s="13"/>
      <c r="E9" s="13"/>
      <c r="F9" s="121"/>
      <c r="G9" s="122">
        <v>14036139</v>
      </c>
      <c r="H9" s="127">
        <f>G9/$G$7</f>
        <v>0.51368080638743829</v>
      </c>
      <c r="I9" s="124">
        <f>G9/J9-1</f>
        <v>8.57382010681218E-2</v>
      </c>
      <c r="J9" s="122">
        <v>12927738</v>
      </c>
      <c r="K9" s="124">
        <f>J9/$J$7</f>
        <v>0.51126391247971548</v>
      </c>
    </row>
    <row r="10" spans="1:12" ht="13.5" customHeight="1" x14ac:dyDescent="0.2">
      <c r="B10" s="120" t="s">
        <v>44</v>
      </c>
      <c r="C10" s="13"/>
      <c r="D10" s="13"/>
      <c r="E10" s="13"/>
      <c r="F10" s="121"/>
      <c r="G10" s="122">
        <v>6416023</v>
      </c>
      <c r="H10" s="127">
        <f>G10/$G$7</f>
        <v>0.23480729767925146</v>
      </c>
      <c r="I10" s="124">
        <f>G10/J10-1</f>
        <v>-2.3494343562558639E-2</v>
      </c>
      <c r="J10" s="122">
        <v>6570390</v>
      </c>
      <c r="K10" s="124">
        <f>J10/$J$7</f>
        <v>0.2598446300441421</v>
      </c>
    </row>
    <row r="11" spans="1:12" ht="13.5" customHeight="1" x14ac:dyDescent="0.2">
      <c r="B11" s="120" t="s">
        <v>48</v>
      </c>
      <c r="C11" s="13"/>
      <c r="D11" s="13"/>
      <c r="E11" s="13"/>
      <c r="F11" s="121"/>
      <c r="G11" s="122">
        <v>4734666</v>
      </c>
      <c r="H11" s="127">
        <f>G11/$G$7</f>
        <v>0.1732746483099937</v>
      </c>
      <c r="I11" s="124">
        <f>G11/J11-1</f>
        <v>6.3600376138986281E-2</v>
      </c>
      <c r="J11" s="122">
        <v>4451546</v>
      </c>
      <c r="K11" s="124">
        <f>J11/$J$7</f>
        <v>0.17604895957385797</v>
      </c>
    </row>
    <row r="12" spans="1:12" ht="13.5" customHeight="1" x14ac:dyDescent="0.2">
      <c r="B12" s="120" t="s">
        <v>46</v>
      </c>
      <c r="C12" s="13"/>
      <c r="D12" s="13"/>
      <c r="E12" s="13"/>
      <c r="F12" s="121"/>
      <c r="G12" s="122">
        <v>397904</v>
      </c>
      <c r="H12" s="127">
        <f>G12/$G$7</f>
        <v>1.4562099134583038E-2</v>
      </c>
      <c r="I12" s="124">
        <f>G12/J12-1</f>
        <v>-0.1595311671605788</v>
      </c>
      <c r="J12" s="122">
        <v>473431</v>
      </c>
      <c r="K12" s="124">
        <f>J12/$J$7</f>
        <v>1.8723166059614153E-2</v>
      </c>
    </row>
    <row r="13" spans="1:12" ht="13.5" customHeight="1" x14ac:dyDescent="0.2">
      <c r="B13" s="120" t="s">
        <v>47</v>
      </c>
      <c r="C13" s="13"/>
      <c r="D13" s="13"/>
      <c r="E13" s="13"/>
      <c r="F13" s="121"/>
      <c r="G13" s="122">
        <v>376445</v>
      </c>
      <c r="H13" s="127">
        <f>G13/$G$7</f>
        <v>1.3776763763918211E-2</v>
      </c>
      <c r="I13" s="124">
        <f>G13/J13-1</f>
        <v>-9.9202683882824161E-2</v>
      </c>
      <c r="J13" s="122">
        <v>417902</v>
      </c>
      <c r="K13" s="124">
        <f>J13/$J$7</f>
        <v>1.6527114917791345E-2</v>
      </c>
    </row>
    <row r="14" spans="1:12" x14ac:dyDescent="0.2">
      <c r="B14" s="120"/>
      <c r="C14" s="13"/>
      <c r="D14" s="13"/>
      <c r="E14" s="13"/>
      <c r="F14" s="121"/>
      <c r="G14" s="122"/>
      <c r="H14" s="123"/>
      <c r="I14" s="124"/>
      <c r="J14" s="125"/>
      <c r="K14" s="126"/>
    </row>
    <row r="15" spans="1:12" x14ac:dyDescent="0.2">
      <c r="B15" s="128" t="s">
        <v>49</v>
      </c>
      <c r="C15" s="10"/>
      <c r="D15" s="10"/>
      <c r="E15" s="10"/>
      <c r="F15" s="129"/>
      <c r="G15" s="130">
        <f>G7+G8-G9-G10-G11-G12-G13</f>
        <v>1585822</v>
      </c>
      <c r="H15" s="131">
        <f>G15/$G$7</f>
        <v>5.8036353426461518E-2</v>
      </c>
      <c r="I15" s="132">
        <f>G15/J15-1</f>
        <v>1.4232628786582233</v>
      </c>
      <c r="J15" s="201">
        <f>J7+J8-J9-J10-J11-J12-J13</f>
        <v>654416</v>
      </c>
      <c r="K15" s="132">
        <f>J15/$J$7</f>
        <v>2.5880729060979227E-2</v>
      </c>
      <c r="L15" s="50"/>
    </row>
    <row r="16" spans="1:12" ht="7.5" customHeight="1" x14ac:dyDescent="0.2">
      <c r="B16" s="133"/>
      <c r="C16" s="13"/>
      <c r="D16" s="13"/>
      <c r="E16" s="13"/>
      <c r="F16" s="121"/>
      <c r="G16" s="122"/>
      <c r="H16" s="123"/>
      <c r="I16" s="124"/>
      <c r="J16" s="125"/>
      <c r="K16" s="126"/>
    </row>
    <row r="17" spans="2:11" x14ac:dyDescent="0.2">
      <c r="B17" s="120"/>
      <c r="C17" s="13"/>
      <c r="D17" s="13"/>
      <c r="E17" s="13"/>
      <c r="F17" s="121"/>
      <c r="G17" s="122"/>
      <c r="H17" s="123"/>
      <c r="I17" s="124"/>
      <c r="J17" s="125"/>
      <c r="K17" s="126"/>
    </row>
    <row r="18" spans="2:11" x14ac:dyDescent="0.2">
      <c r="B18" s="134" t="s">
        <v>50</v>
      </c>
      <c r="C18" s="10"/>
      <c r="D18" s="10"/>
      <c r="E18" s="10"/>
      <c r="F18" s="129"/>
      <c r="G18" s="135">
        <v>-124770</v>
      </c>
      <c r="H18" s="35">
        <f>G18/$G$7</f>
        <v>-4.5662097114427744E-3</v>
      </c>
      <c r="I18" s="136">
        <f>G18/J18-1</f>
        <v>-0.48048649481402528</v>
      </c>
      <c r="J18" s="135">
        <v>-240167</v>
      </c>
      <c r="K18" s="136">
        <f>J18/$J$7</f>
        <v>-9.4980823457681308E-3</v>
      </c>
    </row>
    <row r="19" spans="2:11" ht="7.5" customHeight="1" x14ac:dyDescent="0.2">
      <c r="B19" s="120"/>
      <c r="C19" s="13"/>
      <c r="D19" s="13"/>
      <c r="E19" s="13"/>
      <c r="F19" s="121"/>
      <c r="G19" s="122"/>
      <c r="H19" s="123"/>
      <c r="I19" s="124"/>
      <c r="J19" s="125"/>
      <c r="K19" s="126"/>
    </row>
    <row r="20" spans="2:11" x14ac:dyDescent="0.2">
      <c r="B20" s="120"/>
      <c r="C20" s="13"/>
      <c r="D20" s="13"/>
      <c r="E20" s="13"/>
      <c r="F20" s="121"/>
      <c r="G20" s="122"/>
      <c r="H20" s="123"/>
      <c r="I20" s="124"/>
      <c r="J20" s="125"/>
      <c r="K20" s="126"/>
    </row>
    <row r="21" spans="2:11" x14ac:dyDescent="0.2">
      <c r="B21" s="128" t="s">
        <v>51</v>
      </c>
      <c r="C21" s="10"/>
      <c r="D21" s="10"/>
      <c r="E21" s="10"/>
      <c r="F21" s="129"/>
      <c r="G21" s="130">
        <f>G15+G18</f>
        <v>1461052</v>
      </c>
      <c r="H21" s="131">
        <f>G21/$G$7</f>
        <v>5.3470143715018743E-2</v>
      </c>
      <c r="I21" s="132">
        <f>G21/J21-1</f>
        <v>2.5269898056482938</v>
      </c>
      <c r="J21" s="201">
        <f>J15+J18</f>
        <v>414249</v>
      </c>
      <c r="K21" s="132">
        <f>J21/$J$7</f>
        <v>1.6382646715211092E-2</v>
      </c>
    </row>
    <row r="22" spans="2:11" ht="7.5" customHeight="1" x14ac:dyDescent="0.2">
      <c r="B22" s="120"/>
      <c r="C22" s="13"/>
      <c r="D22" s="13"/>
      <c r="E22" s="13"/>
      <c r="F22" s="121"/>
      <c r="G22" s="122"/>
      <c r="H22" s="123"/>
      <c r="I22" s="124"/>
      <c r="J22" s="125"/>
      <c r="K22" s="126"/>
    </row>
    <row r="23" spans="2:11" x14ac:dyDescent="0.2">
      <c r="B23" s="120"/>
      <c r="C23" s="13"/>
      <c r="D23" s="13"/>
      <c r="E23" s="13"/>
      <c r="F23" s="121"/>
      <c r="G23" s="122"/>
      <c r="H23" s="123"/>
      <c r="I23" s="124"/>
      <c r="J23" s="125"/>
      <c r="K23" s="126"/>
    </row>
    <row r="24" spans="2:11" x14ac:dyDescent="0.2">
      <c r="B24" s="134" t="s">
        <v>52</v>
      </c>
      <c r="C24" s="10"/>
      <c r="D24" s="10"/>
      <c r="E24" s="10"/>
      <c r="F24" s="129"/>
      <c r="G24" s="135">
        <v>57123</v>
      </c>
      <c r="H24" s="35">
        <f>G24/$G$7</f>
        <v>2.0905313564698693E-3</v>
      </c>
      <c r="I24" s="136">
        <f>G24/J24-1</f>
        <v>-5.1640909753608399</v>
      </c>
      <c r="J24" s="135">
        <v>-13718</v>
      </c>
      <c r="K24" s="136">
        <f>J24/$J$7</f>
        <v>-5.4251705529588675E-4</v>
      </c>
    </row>
    <row r="25" spans="2:11" ht="7.5" customHeight="1" x14ac:dyDescent="0.2">
      <c r="B25" s="120"/>
      <c r="C25" s="13"/>
      <c r="D25" s="13"/>
      <c r="E25" s="13"/>
      <c r="F25" s="121"/>
      <c r="G25" s="122"/>
      <c r="H25" s="123"/>
      <c r="I25" s="124"/>
      <c r="J25" s="125"/>
      <c r="K25" s="126"/>
    </row>
    <row r="26" spans="2:11" x14ac:dyDescent="0.2">
      <c r="B26" s="120"/>
      <c r="C26" s="13"/>
      <c r="D26" s="13"/>
      <c r="E26" s="13"/>
      <c r="F26" s="121"/>
      <c r="G26" s="122"/>
      <c r="H26" s="123"/>
      <c r="I26" s="124"/>
      <c r="J26" s="125"/>
      <c r="K26" s="126"/>
    </row>
    <row r="27" spans="2:11" x14ac:dyDescent="0.2">
      <c r="B27" s="134" t="s">
        <v>54</v>
      </c>
      <c r="C27" s="10"/>
      <c r="D27" s="10"/>
      <c r="E27" s="10"/>
      <c r="F27" s="129"/>
      <c r="G27" s="135"/>
      <c r="H27" s="12"/>
      <c r="I27" s="136"/>
      <c r="J27" s="202"/>
      <c r="K27" s="137"/>
    </row>
    <row r="28" spans="2:11" ht="7.5" customHeight="1" x14ac:dyDescent="0.2">
      <c r="B28" s="120"/>
      <c r="C28" s="13"/>
      <c r="D28" s="13"/>
      <c r="E28" s="13"/>
      <c r="F28" s="121"/>
      <c r="G28" s="122"/>
      <c r="H28" s="123"/>
      <c r="I28" s="124"/>
      <c r="J28" s="125"/>
      <c r="K28" s="126"/>
    </row>
    <row r="29" spans="2:11" x14ac:dyDescent="0.2">
      <c r="B29" s="120"/>
      <c r="C29" s="13"/>
      <c r="D29" s="13"/>
      <c r="E29" s="13"/>
      <c r="F29" s="121"/>
      <c r="G29" s="122"/>
      <c r="H29" s="123"/>
      <c r="I29" s="124"/>
      <c r="J29" s="125"/>
      <c r="K29" s="126"/>
    </row>
    <row r="30" spans="2:11" x14ac:dyDescent="0.2">
      <c r="B30" s="134" t="s">
        <v>55</v>
      </c>
      <c r="C30" s="10"/>
      <c r="D30" s="10"/>
      <c r="E30" s="10"/>
      <c r="F30" s="129"/>
      <c r="G30" s="135">
        <v>409286</v>
      </c>
      <c r="H30" s="35">
        <f>G30/$G$7</f>
        <v>1.4978646372986834E-2</v>
      </c>
      <c r="I30" s="136">
        <f>G30/J30-1</f>
        <v>2.7678456354832175</v>
      </c>
      <c r="J30" s="135">
        <v>108626</v>
      </c>
      <c r="K30" s="136">
        <f>J30/$J$7</f>
        <v>4.2959219746734941E-3</v>
      </c>
    </row>
    <row r="31" spans="2:11" ht="7.5" customHeight="1" x14ac:dyDescent="0.2">
      <c r="B31" s="120"/>
      <c r="C31" s="13"/>
      <c r="D31" s="13"/>
      <c r="E31" s="13"/>
      <c r="F31" s="121"/>
      <c r="G31" s="122"/>
      <c r="H31" s="123"/>
      <c r="I31" s="124"/>
      <c r="J31" s="122"/>
      <c r="K31" s="126"/>
    </row>
    <row r="32" spans="2:11" x14ac:dyDescent="0.2">
      <c r="B32" s="120"/>
      <c r="C32" s="13"/>
      <c r="D32" s="13"/>
      <c r="E32" s="13"/>
      <c r="F32" s="121"/>
      <c r="G32" s="122"/>
      <c r="H32" s="123"/>
      <c r="I32" s="124"/>
      <c r="J32" s="122"/>
      <c r="K32" s="126"/>
    </row>
    <row r="33" spans="2:11" x14ac:dyDescent="0.2">
      <c r="B33" s="134" t="s">
        <v>56</v>
      </c>
      <c r="C33" s="10"/>
      <c r="D33" s="10"/>
      <c r="E33" s="10"/>
      <c r="F33" s="129"/>
      <c r="G33" s="135">
        <v>70676</v>
      </c>
      <c r="H33" s="35">
        <f>G33/$G$7</f>
        <v>2.5865307170468022E-3</v>
      </c>
      <c r="I33" s="136">
        <f>G33/J33-1</f>
        <v>4.2209499889192585</v>
      </c>
      <c r="J33" s="135">
        <v>13537</v>
      </c>
      <c r="K33" s="136">
        <f>J33/$J$7</f>
        <v>5.3535889907715549E-4</v>
      </c>
    </row>
    <row r="34" spans="2:11" ht="7.5" customHeight="1" x14ac:dyDescent="0.2">
      <c r="B34" s="120"/>
      <c r="C34" s="13"/>
      <c r="D34" s="13"/>
      <c r="E34" s="13"/>
      <c r="F34" s="121"/>
      <c r="G34" s="122"/>
      <c r="H34" s="123"/>
      <c r="I34" s="124"/>
      <c r="J34" s="125"/>
      <c r="K34" s="126"/>
    </row>
    <row r="35" spans="2:11" x14ac:dyDescent="0.2">
      <c r="B35" s="120"/>
      <c r="C35" s="13"/>
      <c r="D35" s="13"/>
      <c r="E35" s="13"/>
      <c r="F35" s="121"/>
      <c r="G35" s="122"/>
      <c r="H35" s="123"/>
      <c r="I35" s="124"/>
      <c r="J35" s="125"/>
      <c r="K35" s="126"/>
    </row>
    <row r="36" spans="2:11" x14ac:dyDescent="0.2">
      <c r="B36" s="128" t="s">
        <v>57</v>
      </c>
      <c r="C36" s="10"/>
      <c r="D36" s="10"/>
      <c r="E36" s="10"/>
      <c r="F36" s="129"/>
      <c r="G36" s="130">
        <f>G21+G24-G27-G30-G33</f>
        <v>1038213</v>
      </c>
      <c r="H36" s="131">
        <f>G36/$G$7</f>
        <v>3.7995497981454976E-2</v>
      </c>
      <c r="I36" s="132">
        <f>G36/J36-1</f>
        <v>2.7296420565582249</v>
      </c>
      <c r="J36" s="201">
        <f>J21+J24-J27-J30-J33</f>
        <v>278368</v>
      </c>
      <c r="K36" s="132">
        <f>J36/$J$7</f>
        <v>1.1008848786164557E-2</v>
      </c>
    </row>
    <row r="37" spans="2:11" ht="7.5" customHeight="1" x14ac:dyDescent="0.2">
      <c r="B37" s="120"/>
      <c r="C37" s="13"/>
      <c r="D37" s="13"/>
      <c r="E37" s="13"/>
      <c r="F37" s="121"/>
      <c r="G37" s="122"/>
      <c r="H37" s="123"/>
      <c r="I37" s="124"/>
      <c r="J37" s="125"/>
      <c r="K37" s="126"/>
    </row>
    <row r="38" spans="2:11" x14ac:dyDescent="0.2">
      <c r="B38" s="120"/>
      <c r="C38" s="13"/>
      <c r="D38" s="13"/>
      <c r="E38" s="13"/>
      <c r="F38" s="121"/>
      <c r="G38" s="122"/>
      <c r="H38" s="123"/>
      <c r="I38" s="124"/>
      <c r="J38" s="125"/>
      <c r="K38" s="126"/>
    </row>
    <row r="39" spans="2:11" x14ac:dyDescent="0.2">
      <c r="B39" s="134" t="s">
        <v>59</v>
      </c>
      <c r="C39" s="10"/>
      <c r="D39" s="10"/>
      <c r="E39" s="10"/>
      <c r="F39" s="129"/>
      <c r="G39" s="135">
        <v>-339509</v>
      </c>
      <c r="H39" s="35">
        <f>G39/$G$7</f>
        <v>-1.2425016373505049E-2</v>
      </c>
      <c r="I39" s="136"/>
      <c r="J39" s="135">
        <v>-339510</v>
      </c>
      <c r="K39" s="136">
        <f>J39/$J$7</f>
        <v>-1.3426881866416862E-2</v>
      </c>
    </row>
    <row r="40" spans="2:11" ht="7.5" customHeight="1" x14ac:dyDescent="0.2">
      <c r="B40" s="120"/>
      <c r="C40" s="13"/>
      <c r="D40" s="13"/>
      <c r="E40" s="13"/>
      <c r="F40" s="121"/>
      <c r="G40" s="122"/>
      <c r="H40" s="123"/>
      <c r="I40" s="124"/>
      <c r="J40" s="125"/>
      <c r="K40" s="126"/>
    </row>
    <row r="41" spans="2:11" x14ac:dyDescent="0.2">
      <c r="B41" s="120"/>
      <c r="C41" s="13"/>
      <c r="D41" s="13"/>
      <c r="E41" s="13"/>
      <c r="F41" s="121"/>
      <c r="G41" s="122"/>
      <c r="H41" s="123"/>
      <c r="I41" s="124"/>
      <c r="J41" s="125"/>
      <c r="K41" s="126"/>
    </row>
    <row r="42" spans="2:11" x14ac:dyDescent="0.2">
      <c r="B42" s="128" t="s">
        <v>60</v>
      </c>
      <c r="C42" s="10"/>
      <c r="D42" s="10"/>
      <c r="E42" s="10"/>
      <c r="F42" s="129"/>
      <c r="G42" s="130">
        <f>G36+G39</f>
        <v>698704</v>
      </c>
      <c r="H42" s="131">
        <f>G42/$G$7</f>
        <v>2.5570481607949926E-2</v>
      </c>
      <c r="I42" s="132">
        <f>G42/J42-1</f>
        <v>-12.427562068627131</v>
      </c>
      <c r="J42" s="201">
        <f>J36+J39</f>
        <v>-61142</v>
      </c>
      <c r="K42" s="132">
        <f>J42/$J$7</f>
        <v>-2.4180330802523039E-3</v>
      </c>
    </row>
    <row r="43" spans="2:11" ht="7.5" customHeight="1" x14ac:dyDescent="0.2">
      <c r="B43" s="120"/>
      <c r="C43" s="13"/>
      <c r="D43" s="13"/>
      <c r="E43" s="13"/>
      <c r="F43" s="121"/>
      <c r="G43" s="122"/>
      <c r="H43" s="123"/>
      <c r="I43" s="124"/>
      <c r="J43" s="125"/>
      <c r="K43" s="126"/>
    </row>
    <row r="44" spans="2:11" x14ac:dyDescent="0.2">
      <c r="B44" s="120"/>
      <c r="C44" s="13"/>
      <c r="D44" s="13"/>
      <c r="E44" s="13"/>
      <c r="F44" s="121"/>
      <c r="G44" s="122"/>
      <c r="H44" s="123"/>
      <c r="I44" s="124"/>
      <c r="J44" s="125"/>
      <c r="K44" s="126"/>
    </row>
    <row r="45" spans="2:11" x14ac:dyDescent="0.2">
      <c r="B45" s="128" t="s">
        <v>61</v>
      </c>
      <c r="C45" s="10"/>
      <c r="D45" s="10"/>
      <c r="E45" s="10"/>
      <c r="F45" s="129"/>
      <c r="G45" s="140">
        <f>G42/4875000</f>
        <v>0.14332389743589743</v>
      </c>
      <c r="H45" s="131"/>
      <c r="I45" s="132"/>
      <c r="J45" s="203">
        <f>J42/4875000</f>
        <v>-1.2541948717948719E-2</v>
      </c>
      <c r="K45" s="132"/>
    </row>
    <row r="46" spans="2:11" ht="7.5" customHeight="1" x14ac:dyDescent="0.2"/>
  </sheetData>
  <pageMargins left="0.35" right="0.36" top="0.984251969" bottom="0.984251969" header="0.4921259845" footer="0.4921259845"/>
  <pageSetup paperSize="9"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</vt:i4>
      </vt:variant>
    </vt:vector>
  </HeadingPairs>
  <TitlesOfParts>
    <vt:vector size="20" baseType="lpstr">
      <vt:lpstr>BILAN 18-17</vt:lpstr>
      <vt:lpstr>BILAN 16-15</vt:lpstr>
      <vt:lpstr>BILAN 14-13</vt:lpstr>
      <vt:lpstr>BILAN 12-11</vt:lpstr>
      <vt:lpstr>BILAN 10-09</vt:lpstr>
      <vt:lpstr>CPTE RESULTAT 18-17</vt:lpstr>
      <vt:lpstr>CPTE RESULTAT 16-15</vt:lpstr>
      <vt:lpstr>CPTE RESULTAT 14-13</vt:lpstr>
      <vt:lpstr>CPTE RESULTAT 12-11</vt:lpstr>
      <vt:lpstr>CPTE RESULTAT 10-09</vt:lpstr>
      <vt:lpstr>FLUX TRESO 18-17</vt:lpstr>
      <vt:lpstr>FLUX TRESO 16-15</vt:lpstr>
      <vt:lpstr>FLUX TRESO 14-13</vt:lpstr>
      <vt:lpstr>SIG 18-17</vt:lpstr>
      <vt:lpstr>SIG 16-15</vt:lpstr>
      <vt:lpstr>SIG 14-13</vt:lpstr>
      <vt:lpstr>SIG 12-11</vt:lpstr>
      <vt:lpstr>SIG 10-09</vt:lpstr>
      <vt:lpstr>'BILAN 18-17'!Zone_d_impression</vt:lpstr>
      <vt:lpstr>'FLUX TRESO 18-17'!Zone_d_impression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Anais MICHELETTI   VDI/CHA</dc:creator>
  <cp:lastModifiedBy>Anais MICHELETTI   VDI/CHA</cp:lastModifiedBy>
  <cp:lastPrinted>2018-11-05T08:59:13Z</cp:lastPrinted>
  <dcterms:created xsi:type="dcterms:W3CDTF">2018-11-05T08:45:12Z</dcterms:created>
  <dcterms:modified xsi:type="dcterms:W3CDTF">2018-11-05T09:06:22Z</dcterms:modified>
</cp:coreProperties>
</file>